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tabRatio="603" activeTab="0"/>
  </bookViews>
  <sheets>
    <sheet name="BVC TOTAL" sheetId="1" r:id="rId1"/>
    <sheet name="BVC  MS" sheetId="2" r:id="rId2"/>
    <sheet name="Centralizator BVC" sheetId="3" r:id="rId3"/>
    <sheet name="BVC DSP" sheetId="4" r:id="rId4"/>
  </sheets>
  <definedNames>
    <definedName name="_xlnm.Print_Area" localSheetId="1">'BVC  MS'!$A$1:$K$656</definedName>
    <definedName name="_xlnm.Print_Area" localSheetId="3">'BVC DSP'!$A$1:$K$658</definedName>
    <definedName name="_xlnm.Print_Area" localSheetId="0">'BVC TOTAL'!$O$1:$Y$35</definedName>
    <definedName name="_xlnm.Print_Titles" localSheetId="1">'BVC  MS'!$10:$10</definedName>
    <definedName name="_xlnm.Print_Titles" localSheetId="0">'BVC TOTAL'!$11:$11</definedName>
  </definedNames>
  <calcPr fullCalcOnLoad="1"/>
</workbook>
</file>

<file path=xl/sharedStrings.xml><?xml version="1.0" encoding="utf-8"?>
<sst xmlns="http://schemas.openxmlformats.org/spreadsheetml/2006/main" count="4003" uniqueCount="382">
  <si>
    <t>ANEXA 1</t>
  </si>
  <si>
    <t xml:space="preserve">INSTITUŢIA SANITARĂ PUBLICĂ : </t>
  </si>
  <si>
    <t>Anexa 4a</t>
  </si>
  <si>
    <t xml:space="preserve">                         SE APROBA,</t>
  </si>
  <si>
    <t>SE APROBA</t>
  </si>
  <si>
    <t>INSTITUTIA SANITARA:</t>
  </si>
  <si>
    <t>ANEXA  3</t>
  </si>
  <si>
    <t xml:space="preserve">                                                                                                                            ORDONATOR DE CREDITE IERARHIC SUPERIOR,</t>
  </si>
  <si>
    <t>APROBAT,</t>
  </si>
  <si>
    <t xml:space="preserve">                                                                                   ORDONATOR DE CREDITE IERARHIC SUPERIOR,</t>
  </si>
  <si>
    <t>SE APROBA:</t>
  </si>
  <si>
    <t>CONDUCEREA INSTITUTIEI PUBLICE SANITARE</t>
  </si>
  <si>
    <t xml:space="preserve">     ORDONATOR DE CREDITE IERARHIC SUPERIOR</t>
  </si>
  <si>
    <t xml:space="preserve">                                                     BUGETUL DE VENITURI SI CHELTUIELI</t>
  </si>
  <si>
    <t>BUGETUL FONDULUI DE DEZVOLTARE AL SPITALULUI</t>
  </si>
  <si>
    <t>mii lei</t>
  </si>
  <si>
    <t>pentru anul ……………….</t>
  </si>
  <si>
    <t>Nr.           crt</t>
  </si>
  <si>
    <t>Capitol</t>
  </si>
  <si>
    <t>Subcap.</t>
  </si>
  <si>
    <t>Paragraf</t>
  </si>
  <si>
    <t>Denumirea indicatorilor</t>
  </si>
  <si>
    <t>Credite de angajament</t>
  </si>
  <si>
    <t>Prevederi   anuale</t>
  </si>
  <si>
    <t>Trim I</t>
  </si>
  <si>
    <t>Trim II</t>
  </si>
  <si>
    <t>Trim III</t>
  </si>
  <si>
    <t>Trim IV</t>
  </si>
  <si>
    <t>A</t>
  </si>
  <si>
    <t>B</t>
  </si>
  <si>
    <t>C</t>
  </si>
  <si>
    <t>D</t>
  </si>
  <si>
    <t>E</t>
  </si>
  <si>
    <t>Nr.</t>
  </si>
  <si>
    <t>TOTAL VENITURI PROPRII</t>
  </si>
  <si>
    <t xml:space="preserve">NUMARUL DE POSTURI SI STRUCTURA ACESTORA </t>
  </si>
  <si>
    <t>I. VENITURI CURENTE</t>
  </si>
  <si>
    <t>TOTAL VENITURI</t>
  </si>
  <si>
    <t>CONFORM STAT DE FUNCTII APROBAT</t>
  </si>
  <si>
    <t xml:space="preserve">C. VENITURI NEFISCALE </t>
  </si>
  <si>
    <t>30.10</t>
  </si>
  <si>
    <t>05</t>
  </si>
  <si>
    <t>Sume rezultate din inchirieri</t>
  </si>
  <si>
    <t xml:space="preserve">                  PE ANUL…………………………..</t>
  </si>
  <si>
    <t>30,10</t>
  </si>
  <si>
    <t xml:space="preserve"> C1 VENITURI DIN PROPRIETATE</t>
  </si>
  <si>
    <t>37.10</t>
  </si>
  <si>
    <t>01</t>
  </si>
  <si>
    <t>Sponsorizare cu destinatia "dezvoltare"</t>
  </si>
  <si>
    <t>Venituri din concesiuni şi închirieri</t>
  </si>
  <si>
    <t>39.10</t>
  </si>
  <si>
    <t>Sume din valorificarea bunurilor disponibile si casate</t>
  </si>
  <si>
    <t>Alte venituri din proprietate</t>
  </si>
  <si>
    <t>O cota de pana la 5% din amortizarea calculata lunar</t>
  </si>
  <si>
    <t>1. NUMARUL DE PERSONAL SI STRUCTURA ACESTORA</t>
  </si>
  <si>
    <t>C2 VÂNZĂRI DE BUNURI ŞI SERVICII</t>
  </si>
  <si>
    <t>o cota de 20% din excedentul bugetar</t>
  </si>
  <si>
    <t>33,10</t>
  </si>
  <si>
    <t>VENITURI DIN PRESTĂRI DE SERVICII ŞI ALTE ACTIVITĂŢI</t>
  </si>
  <si>
    <t>Titlu</t>
  </si>
  <si>
    <t>Articol</t>
  </si>
  <si>
    <t>Aliniat</t>
  </si>
  <si>
    <t>NR.</t>
  </si>
  <si>
    <t>STRUCTURA POSTURILOR</t>
  </si>
  <si>
    <t>NUMARUL DE</t>
  </si>
  <si>
    <t>08</t>
  </si>
  <si>
    <t>Venituri din prestări de servicii</t>
  </si>
  <si>
    <t>II TOTAL CHELTUIELI</t>
  </si>
  <si>
    <t>CRT.</t>
  </si>
  <si>
    <t>POSTURI</t>
  </si>
  <si>
    <t>Venituri din valorificarea produselor obţinute din activitatea proprie sau anexă</t>
  </si>
  <si>
    <t>CHELTUIELI DE CAPITAL</t>
  </si>
  <si>
    <t>NUMARUL DE POSTURI TOTAL, DIN CARE:</t>
  </si>
  <si>
    <t>Venituri din cercetare</t>
  </si>
  <si>
    <t>ACTIVE NEFINANCIARE</t>
  </si>
  <si>
    <t>PERSONAL SANITAR -TOTAL, DIN CARE:</t>
  </si>
  <si>
    <t>Venituri din contractele cu casele de asigurări de sănătate *)</t>
  </si>
  <si>
    <t xml:space="preserve">Active fixe </t>
  </si>
  <si>
    <t>MEDICI</t>
  </si>
  <si>
    <t>Venituri din contracte incheiate cu DSP din sume alocate de la bugetul de stat</t>
  </si>
  <si>
    <t>02</t>
  </si>
  <si>
    <t>Masini, echipamente si mijloace de transport</t>
  </si>
  <si>
    <t>ALT PERSONAL SUPERIOR</t>
  </si>
  <si>
    <t>Venituri din contracte incheiate cu DSP din sume alocate din venituri proprii ale Ministerului Sanatatii</t>
  </si>
  <si>
    <t>03</t>
  </si>
  <si>
    <t>Mobilier, aparatura birotica si alte active corporale</t>
  </si>
  <si>
    <t>PERSONAL MEDIU</t>
  </si>
  <si>
    <t>Venituri din contracte incheiate cu Institutele de medicina legala  din sume alocate de la bugetul de stat</t>
  </si>
  <si>
    <t>Alte active fixe (inclusiv reparatii capitale)</t>
  </si>
  <si>
    <t>Personal auxiliar sanitar tehnic, economic, administrativ, muncitori</t>
  </si>
  <si>
    <t>din servicii medicale spitalicesti</t>
  </si>
  <si>
    <t>Excedent din anul precedent</t>
  </si>
  <si>
    <t>Numar mediu de persoane retribuite</t>
  </si>
  <si>
    <t>din servicii medicale ambulatorii de specialitate</t>
  </si>
  <si>
    <t>din program de sanatate</t>
  </si>
  <si>
    <t>Alte venituri din prestări de servicii şi alte activităţi **)</t>
  </si>
  <si>
    <t>TRANSFERURI VOLUNTARE ALTELE DECÂT SUBVENŢIILE</t>
  </si>
  <si>
    <t>Donaţii şi sponsorizări</t>
  </si>
  <si>
    <t xml:space="preserve">Conducatorul institutiei publice                                                      </t>
  </si>
  <si>
    <t>Conducatorul compartimentului fin.-cont.</t>
  </si>
  <si>
    <t>Alte transferuri voluntare</t>
  </si>
  <si>
    <t>Conducatorul institutiei publice</t>
  </si>
  <si>
    <t>II. VENITURI DIN CAPITAL</t>
  </si>
  <si>
    <t>ec.VIORICA HLADIK</t>
  </si>
  <si>
    <t>VENITURI DIN VALORIFICAREA UNOR BUNURI</t>
  </si>
  <si>
    <t>Notă:</t>
  </si>
  <si>
    <t>Se întocmeşte numai de unităţile sanitare cu paturi</t>
  </si>
  <si>
    <t>Venituri din valorificarea unor bunuri ale instituţiilor publice</t>
  </si>
  <si>
    <t>04</t>
  </si>
  <si>
    <t>Venituri din privatizare</t>
  </si>
  <si>
    <t>Alte venituri din valorificarea unor bunuri</t>
  </si>
  <si>
    <t>IV. SUBVENŢII</t>
  </si>
  <si>
    <t>42.10</t>
  </si>
  <si>
    <t>Subvenţii de la bugetul de stat</t>
  </si>
  <si>
    <t>Subvenţii de la bugetul de stat pentru spitale</t>
  </si>
  <si>
    <t>Programe naţionale de sănătate</t>
  </si>
  <si>
    <t xml:space="preserve">Investiţii, in condiţiile legii </t>
  </si>
  <si>
    <t>Reparaţii capitale</t>
  </si>
  <si>
    <t xml:space="preserve">Acţiuni de sănătate </t>
  </si>
  <si>
    <t>Aparatură medicală  şi echipamente de comunicaţii în urgentă</t>
  </si>
  <si>
    <t>Alte cheltuieli</t>
  </si>
  <si>
    <t>43.10</t>
  </si>
  <si>
    <t>Subvenţii de la alte administraţii</t>
  </si>
  <si>
    <t xml:space="preserve">Subvenţii pentru instituţii publice - Sume alocate din bugetul constituit din contribuţiile pentru producerea, importul si publicitatea pentru  produse din tutun si alcool </t>
  </si>
  <si>
    <t>Anexa 4b</t>
  </si>
  <si>
    <t>Infrastructură sanitară</t>
  </si>
  <si>
    <t>Dotari</t>
  </si>
  <si>
    <t>Subvenţii de la bugetele locale pentru spitale</t>
  </si>
  <si>
    <t>NOTĂ DE CALCUL</t>
  </si>
  <si>
    <t xml:space="preserve">     privind modul de constituire a cotei -părţi din amortizarea</t>
  </si>
  <si>
    <t>Bunuri şi servicii</t>
  </si>
  <si>
    <t xml:space="preserve">    activelor  fixe  cuprinsă în Fondul de dezvoltare al spitalului</t>
  </si>
  <si>
    <t>45,10</t>
  </si>
  <si>
    <t>Sume primite de la UE in cadrul platilor efectuate</t>
  </si>
  <si>
    <t>an……………………</t>
  </si>
  <si>
    <t>II. TOTAL CHELTUIELI DIN VENITURI PROPRII ( II.1+ II.2 + II.3 + II.4)</t>
  </si>
  <si>
    <t>01. CHELTUIELI CURENTE</t>
  </si>
  <si>
    <t xml:space="preserve"> - mii lei -</t>
  </si>
  <si>
    <t xml:space="preserve">    TITLUL I CHELTUIELI DE PERSONAL</t>
  </si>
  <si>
    <t>Nr.crt</t>
  </si>
  <si>
    <t>Indicatori</t>
  </si>
  <si>
    <t>Suma</t>
  </si>
  <si>
    <t>Cheltuieli  salariale in bani</t>
  </si>
  <si>
    <t>Amortizarea medie lunară din anul precedent</t>
  </si>
  <si>
    <t>Salarii de bază</t>
  </si>
  <si>
    <t>Cota de 5% din amortizarea medie lunară din anul precedent pentru constituirea Fondului de dezvoltare al spitalului</t>
  </si>
  <si>
    <t>Salarii de merit</t>
  </si>
  <si>
    <t>Suma anuală a cotei de 5% din amortizarea medie lunară a anului precedent (rd. 2 x 12)</t>
  </si>
  <si>
    <t>Indemnizaţii de conducere</t>
  </si>
  <si>
    <t>Excedent al  anului precedent în contul 5041" Disponibil din activitatea sanitară conform Legii nr. 145/1997"</t>
  </si>
  <si>
    <t>Spor de vechime</t>
  </si>
  <si>
    <t>Cota de 20% din excedent pentru constituirea Fondului de dezvoltare al spitalului</t>
  </si>
  <si>
    <t>Sporuri pentru condiţii de munca</t>
  </si>
  <si>
    <t>Suma anuală în limita  cotei de până la 5% din amortizarea medie lunară a anului precedent cu menţinerea echilibrului bugetar</t>
  </si>
  <si>
    <t>06</t>
  </si>
  <si>
    <t>Alte sporuri</t>
  </si>
  <si>
    <t>Suma rămasă neutilizată care se reportează în anul următor potrivit legii (rd.4 -rd.5 -rd.6)</t>
  </si>
  <si>
    <t>07</t>
  </si>
  <si>
    <t>Ore suplimentare</t>
  </si>
  <si>
    <t>Fond de premii</t>
  </si>
  <si>
    <t>09</t>
  </si>
  <si>
    <t>Prima de vacanţa</t>
  </si>
  <si>
    <t>Fond pentru posturi ocupate prin cumul</t>
  </si>
  <si>
    <t>Fond aferent plaţii cu ora</t>
  </si>
  <si>
    <t>Indemnizaţii plătite unor persoane din afara unitaţii</t>
  </si>
  <si>
    <t>Indemnizaţii de delegare</t>
  </si>
  <si>
    <t>Indemnizaţii de detaşare</t>
  </si>
  <si>
    <t>Alocaţii pentru transportul la şi de la locul de muncă</t>
  </si>
  <si>
    <t>Alocaţii pentru locuinţe</t>
  </si>
  <si>
    <t>Alte drepturi salariale in bani</t>
  </si>
  <si>
    <t xml:space="preserve">Cheltuieli salariale in natură </t>
  </si>
  <si>
    <t>Tichete de masă</t>
  </si>
  <si>
    <t>Norme de hrană</t>
  </si>
  <si>
    <t>Uniforme si echipament obligatoriu</t>
  </si>
  <si>
    <t>Locuinţa de serviciu folosită de salariat şi familia sa</t>
  </si>
  <si>
    <t>Transportul la şi de la locul de munca</t>
  </si>
  <si>
    <t>Alte drepturi salariale in natură</t>
  </si>
  <si>
    <t>Contribuţii</t>
  </si>
  <si>
    <t>Contribuţii pentru asigurări sociale de stat</t>
  </si>
  <si>
    <t>Contribuţii pentru asigurările de şomaj</t>
  </si>
  <si>
    <t>Contribuţii pentru asigurările sociale de sănătate</t>
  </si>
  <si>
    <t>Contribuţii de asigurari pt accidente de munca si boli profes.</t>
  </si>
  <si>
    <t>Prime de asigurare viaţă platite de angajator pentru angajaţi</t>
  </si>
  <si>
    <t>Contribuţii pentru concedii si indemnizaţii</t>
  </si>
  <si>
    <t>Contribuţii la Fondul de garantare a creanţelor salariale</t>
  </si>
  <si>
    <t xml:space="preserve">   TITLUL II BUNURI  ŞI SERVICII</t>
  </si>
  <si>
    <t>Furnituri de birou</t>
  </si>
  <si>
    <t>Materiale pentru curăţenie</t>
  </si>
  <si>
    <t>Iluminat, incălzit  şi forţă motrică</t>
  </si>
  <si>
    <t>Apă, canal si salubritate</t>
  </si>
  <si>
    <t>Carburanţi si lubrifianţi</t>
  </si>
  <si>
    <t>Piese de schimb</t>
  </si>
  <si>
    <t>Transport</t>
  </si>
  <si>
    <t>Poştă, telecomunicatii, radio, tv, internet</t>
  </si>
  <si>
    <t>Materiale si prestări de servicii cu caracter funcţional</t>
  </si>
  <si>
    <t>Alte bunuri şi servicii pentru întreţinere si funcţionare</t>
  </si>
  <si>
    <t>Reparaţii curente</t>
  </si>
  <si>
    <t>Hrană</t>
  </si>
  <si>
    <t>Hrană pentru oameni</t>
  </si>
  <si>
    <t>Hrană pentru animale</t>
  </si>
  <si>
    <t>Medicamente şi materiale sanitare</t>
  </si>
  <si>
    <t>Medicamente</t>
  </si>
  <si>
    <t>Materiale sanitare</t>
  </si>
  <si>
    <t>Reactivi</t>
  </si>
  <si>
    <t>Dezinfectanţi</t>
  </si>
  <si>
    <t xml:space="preserve">Bunuri de natura obiectelor de inventar </t>
  </si>
  <si>
    <t>Uniforme si echipament</t>
  </si>
  <si>
    <t>Lenjerie si accesorii de pat</t>
  </si>
  <si>
    <t xml:space="preserve">Alte obiecte de inventar </t>
  </si>
  <si>
    <t>Deplasări, detaşări, transferări</t>
  </si>
  <si>
    <t>Deplasări interne, detaşări, transferări</t>
  </si>
  <si>
    <t>Deplasări in strainatate</t>
  </si>
  <si>
    <t xml:space="preserve"> Materiale de laborator</t>
  </si>
  <si>
    <t>Cercetare-dezvoltare</t>
  </si>
  <si>
    <t>Cărti, publicaţii si materiale documentare</t>
  </si>
  <si>
    <t>Consultanţa si expertiză</t>
  </si>
  <si>
    <t>Pregatire profesională</t>
  </si>
  <si>
    <t>Protecţia muncii</t>
  </si>
  <si>
    <t>Cheltuieli judiciare si extrajudiciare pentru interesele statului</t>
  </si>
  <si>
    <t>Tichete cadou</t>
  </si>
  <si>
    <t>Reclamă şi publicitate</t>
  </si>
  <si>
    <t>Prime de asigurare non-viaţă</t>
  </si>
  <si>
    <t>Chirii</t>
  </si>
  <si>
    <t>Executarea silită a creanţelor bugetare</t>
  </si>
  <si>
    <t xml:space="preserve">Alte cheltuieli cu bunuri şi servicii </t>
  </si>
  <si>
    <t>TITLUL III DOBÂNZI</t>
  </si>
  <si>
    <t>Alte dobânzi</t>
  </si>
  <si>
    <t>Dobânzi la operaţiunile de leasing</t>
  </si>
  <si>
    <t>56,10</t>
  </si>
  <si>
    <t>TITLUL VIII PROIECTE CU FINANTARE DIN FONDURI EXTERNE NERAMBULSABILE POSTADERARE</t>
  </si>
  <si>
    <t>TITLUL IX ASISTENTA SOCIALA</t>
  </si>
  <si>
    <t>Asigurari sociale</t>
  </si>
  <si>
    <t>Ajutoare sociale</t>
  </si>
  <si>
    <t>Ajutoare sociale in numerar</t>
  </si>
  <si>
    <t>Ajutoare sociale in natura</t>
  </si>
  <si>
    <t>Tichete de cresa</t>
  </si>
  <si>
    <t>Tichete cadou acordate pentru cheltuieli sociale</t>
  </si>
  <si>
    <t xml:space="preserve"> CHELTUIELI DE CAPITAL</t>
  </si>
  <si>
    <t xml:space="preserve"> TITLUL X ACTIVE NEFINANCIARE</t>
  </si>
  <si>
    <t>Construcţii</t>
  </si>
  <si>
    <t>Maşini, echipamente si mijloace de transport</t>
  </si>
  <si>
    <t>Mobilier, aparatură, birotica si alte active corporale</t>
  </si>
  <si>
    <t>Alte active fixe</t>
  </si>
  <si>
    <t>Reparaţii capitale aferente activelor fixe</t>
  </si>
  <si>
    <t>din Total Cheltuieli de capital, CHELTUIELI PENTRU FONDUL DE DEZVOLTARE</t>
  </si>
  <si>
    <t>Mobilier, aparatura birotica şi alte active corporale</t>
  </si>
  <si>
    <t>Din cheltuieli totale:</t>
  </si>
  <si>
    <t>Subcap</t>
  </si>
  <si>
    <t>66.10</t>
  </si>
  <si>
    <t>SĂNĂTATE</t>
  </si>
  <si>
    <t>Servicii medicale ambulator</t>
  </si>
  <si>
    <t>Asistenţă medicală pentru specialitaţi clinice</t>
  </si>
  <si>
    <t>Alte servicii medicale ambulatoriu</t>
  </si>
  <si>
    <t>Servicii de urgenţă prespitaliceşti şi transport sanitar</t>
  </si>
  <si>
    <t>Servicii medicale  in unitaţi sanitare cu paturi</t>
  </si>
  <si>
    <t>Spitale generale</t>
  </si>
  <si>
    <t>Sanatorii balneare şi de recuperare</t>
  </si>
  <si>
    <t>Cercetare aplicativă si dezvoltare experimentală in sănătate</t>
  </si>
  <si>
    <t>Alte cheltuieli in domeniul sanataţii</t>
  </si>
  <si>
    <t>Activitati de ergoterapie in unitaţi sanitare</t>
  </si>
  <si>
    <t>Alte instituţii si acţiuni sanitare</t>
  </si>
  <si>
    <t>II.1. CHELTUIELI DIN VENITURI PROPRII (altele decât subvenţiile)</t>
  </si>
  <si>
    <t>I. CHELTUIELI CURENTE</t>
  </si>
  <si>
    <t xml:space="preserve">  TITLUL I CHELTUIELI DE PERSONAL</t>
  </si>
  <si>
    <t>Prima de vacanţă</t>
  </si>
  <si>
    <t>Tichete de masa</t>
  </si>
  <si>
    <t>Norme de hrana</t>
  </si>
  <si>
    <t>Locuinţă de serviciu folosită de salariat si familia sa</t>
  </si>
  <si>
    <t>Transportul la şi de la locul de muncă</t>
  </si>
  <si>
    <t>Contribuţii de asigurări pt accidente de munca şi boli profes.</t>
  </si>
  <si>
    <t xml:space="preserve"> TITLUL II BUNURI  ŞI SERVICII</t>
  </si>
  <si>
    <t>Alte bunuri si servicii pentru întreţinere si funcţionare</t>
  </si>
  <si>
    <t>Deplasări interne, detaşari, transferări</t>
  </si>
  <si>
    <t>Carţi, publicaţii si materiale documentare</t>
  </si>
  <si>
    <t>Consultanţă si expertiză</t>
  </si>
  <si>
    <t xml:space="preserve">Alte active fixe </t>
  </si>
  <si>
    <t>DIN CHELTUIELI TOTALE:</t>
  </si>
  <si>
    <t>Asistenţa medicală pentru specialitaţi clinice</t>
  </si>
  <si>
    <t>Alte servicii medicale ambulatorii</t>
  </si>
  <si>
    <t>Asistenţă medicală in unităţi sanitare cu paturi</t>
  </si>
  <si>
    <t>Cercetare aplicativă şi dezvoltare experimentală in sănătate</t>
  </si>
  <si>
    <t>Alte cheltuieli in domeniul sănătaţii</t>
  </si>
  <si>
    <t>Activitaţi de ergoterapie in unitaţi medico-sanitare</t>
  </si>
  <si>
    <t>Alte instituţii şi acţiuni sanitare</t>
  </si>
  <si>
    <t>**) II. 2. CHELTUIELI DIN SUBVENŢII DE LA BUGETUL DE STAT***</t>
  </si>
  <si>
    <t>01.  CHELTUIELI CURENTE</t>
  </si>
  <si>
    <t xml:space="preserve">   TITLUL I CHELTUIELI DE PERSONAL</t>
  </si>
  <si>
    <t xml:space="preserve">   TITLUL II BUNURI ŞI SERVICII</t>
  </si>
  <si>
    <t xml:space="preserve">   TITLUL 70 CHELTUIELI DE CAPITAL</t>
  </si>
  <si>
    <t>Asistenţă medicală in unitaţi sanitare cu paturi</t>
  </si>
  <si>
    <t>Cercetare aplicativa si dezvoltare experimentala in sanatate</t>
  </si>
  <si>
    <t>Alte cheltuieli in domeniul sanatatii</t>
  </si>
  <si>
    <t>Alte institutii si actiuni sanitare</t>
  </si>
  <si>
    <t>II.3. CHELTUIELI DIN SUBVENŢII DE LA BUGETUL LOCAL ***</t>
  </si>
  <si>
    <t xml:space="preserve">  TITLUL II BUNURI ŞI SERVICII</t>
  </si>
  <si>
    <t>SANATATE</t>
  </si>
  <si>
    <t>Sanatorii balneare si de recuperare</t>
  </si>
  <si>
    <t xml:space="preserve"> ***) II.4. CHELTUIELIDIN SUME ALOCATE DIN BUGETUL CONSTITUIT DIN CONTRIBUŢIILE CU PRODUCEREA, IMPORTUL ŞI PUBLICITATEA PENTRU PRODUSE DIN TUTUN ŞI ALCOOL ***</t>
  </si>
  <si>
    <t xml:space="preserve">  TITLUL II BUNURI SI SERVICII</t>
  </si>
  <si>
    <t xml:space="preserve"> Excedent din anul curent</t>
  </si>
  <si>
    <t xml:space="preserve"> Deficit din anul curent</t>
  </si>
  <si>
    <t xml:space="preserve"> Excedent  din anul precedent </t>
  </si>
  <si>
    <t>*)  se includ si actele aditionale la contractele incheiate cu casele de asigurari de sanatate</t>
  </si>
  <si>
    <t>**) se detaliaza pe surse</t>
  </si>
  <si>
    <t>***)  se detaliaza pe structura clasificatiei bugetare</t>
  </si>
  <si>
    <t>Nota</t>
  </si>
  <si>
    <t>Veniturile din cercetare sunt cele prevazute in contracte cu terte persoane fizice si juridice, conform legii;</t>
  </si>
  <si>
    <t>Sumele aferente programelor de sanatate se defalca pe fiecare program, subprogram sau actiune sanitara conform clasificatiei bugetare;</t>
  </si>
  <si>
    <t>Manager</t>
  </si>
  <si>
    <t>Director financiar- contabil</t>
  </si>
  <si>
    <t>As.Univ.Dr.Noditi Gheorghe</t>
  </si>
  <si>
    <t>Ing.Ec.Saracan Maria</t>
  </si>
  <si>
    <t>Sef serviciu financiar- contabil</t>
  </si>
  <si>
    <t>Ec.Sturza Mariana</t>
  </si>
  <si>
    <t xml:space="preserve">    *) Se includ şi actele adiţionale la contractele încheiate cu casele de asigurări de sănătate.</t>
  </si>
  <si>
    <t xml:space="preserve">   **) Se cuprind sume alocate de MS de la bugetul de stat, pe destinatii, pentru unitatile sanitare care sunt in reteaua MS </t>
  </si>
  <si>
    <t xml:space="preserve">   ***) Se cuprind sumele alocate de MS din venituri proprii(accize), pe destinatii, pentru unitatile care sunt in reteaua MS.</t>
  </si>
  <si>
    <t xml:space="preserve">    NOTĂ:</t>
  </si>
  <si>
    <t xml:space="preserve">    Veniturile din cercetare sunt cele prevăzute în contracte cu terţe persoane fizice şi juridice, conform legii;</t>
  </si>
  <si>
    <t xml:space="preserve">    Sumele aferente programelor de sănătate se defalcă pe fiecare program, subprogram sau acţiune sanitară conform clasificaţiei</t>
  </si>
  <si>
    <t xml:space="preserve">    bugetare.</t>
  </si>
  <si>
    <t xml:space="preserve">                                                            pentru anul 2011</t>
  </si>
  <si>
    <t>l. FINANTARE CJAS</t>
  </si>
  <si>
    <t>Servicii spitalicesti</t>
  </si>
  <si>
    <t>Programe</t>
  </si>
  <si>
    <t>Dializa</t>
  </si>
  <si>
    <t>Ambulator</t>
  </si>
  <si>
    <t>Credite de angajament 2010</t>
  </si>
  <si>
    <t>TOTAL VENITURI CJAS</t>
  </si>
  <si>
    <t>Sold initial</t>
  </si>
  <si>
    <t>ll. Venituri proprii</t>
  </si>
  <si>
    <t>lll.Fonduri europene</t>
  </si>
  <si>
    <t>Sursa de finantare</t>
  </si>
  <si>
    <t>An 2011</t>
  </si>
  <si>
    <t>Trim l</t>
  </si>
  <si>
    <t>Trim ll</t>
  </si>
  <si>
    <t>Trim lll</t>
  </si>
  <si>
    <t>Trim lV</t>
  </si>
  <si>
    <t>TOTAL CHELTUIELI ( din Vp altele decat subventiile)</t>
  </si>
  <si>
    <t>Alte venituri din prestări de servicii şi alte activităţi</t>
  </si>
  <si>
    <t>TOTAL Venituri proprii ll.</t>
  </si>
  <si>
    <t>Total venituri proprii</t>
  </si>
  <si>
    <t xml:space="preserve">TOTAL CHELTUIELI </t>
  </si>
  <si>
    <t>DETALIERE  BVC venituri proprii - Trim ll 2011</t>
  </si>
  <si>
    <t>DETALIERE  BVC  - DSP</t>
  </si>
  <si>
    <t>DETALIERE  BVC - MS</t>
  </si>
  <si>
    <t>MS</t>
  </si>
  <si>
    <t>TOTAL</t>
  </si>
  <si>
    <t>plati</t>
  </si>
  <si>
    <t>PLATI</t>
  </si>
  <si>
    <t>DSP</t>
  </si>
  <si>
    <t>plati luna 08</t>
  </si>
  <si>
    <t>Total</t>
  </si>
  <si>
    <t>BVC finantare CJAS - aprobat in august 2011</t>
  </si>
  <si>
    <t>fara Programe de sanatate</t>
  </si>
  <si>
    <t>LEI</t>
  </si>
  <si>
    <t>INSTITUŢIA SANITARĂ PUBLICĂ : Spitalul Clinic Jud de Urgenta Timisoara</t>
  </si>
  <si>
    <t>pentru anul 2011</t>
  </si>
  <si>
    <t>Intocmit</t>
  </si>
  <si>
    <t>Spitalul Clinic Jud de Urgenta Timisoara</t>
  </si>
  <si>
    <t xml:space="preserve">                  PE ANUL  2011</t>
  </si>
  <si>
    <t>pentru anul  2011</t>
  </si>
  <si>
    <t>BVC finantare CJAS - aprobat la 30.09.2011</t>
  </si>
  <si>
    <t>Buget prcedent</t>
  </si>
  <si>
    <t>Buget actualizat</t>
  </si>
  <si>
    <t>DIFERENTA</t>
  </si>
  <si>
    <t xml:space="preserve">                        Avizat</t>
  </si>
  <si>
    <t>Manager                                        Director financiar- contabil</t>
  </si>
  <si>
    <t xml:space="preserve">As.Univ.Dr.Noditi Gheorghe               Ing.Ec.Saracan Maria                     </t>
  </si>
  <si>
    <t>Catre,</t>
  </si>
  <si>
    <t>Serviciul Aprovizionare</t>
  </si>
  <si>
    <t>CJAS in vederea demararii procedurilor de achizitie.</t>
  </si>
  <si>
    <t xml:space="preserve">mii lei </t>
  </si>
  <si>
    <t>Denumire cheltuieli</t>
  </si>
  <si>
    <t>Buget estimat pe anul  2011</t>
  </si>
  <si>
    <r>
      <t xml:space="preserve">Va inaintam o </t>
    </r>
    <r>
      <rPr>
        <b/>
        <sz val="10"/>
        <rFont val="Arial"/>
        <family val="2"/>
      </rPr>
      <t>estimare</t>
    </r>
    <r>
      <rPr>
        <sz val="10"/>
        <rFont val="Arial"/>
        <family val="0"/>
      </rPr>
      <t xml:space="preserve"> a Bugetului de cheltuieli pe anul 2012 pe sursa de finantare venituri proprii- </t>
    </r>
  </si>
  <si>
    <t>La stabilirea sumei totale pentru Bunuri si servicii s-a luat in calcul bugetul la nivelul contractului</t>
  </si>
  <si>
    <t xml:space="preserve"> cu CJAS pe anul 2011</t>
  </si>
  <si>
    <t>plat</t>
  </si>
  <si>
    <t>disponibil buget</t>
  </si>
  <si>
    <t>intrari</t>
  </si>
  <si>
    <t>sold intrari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</si>
</sst>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00"/>
    <numFmt numFmtId="173" formatCode="#,##0.000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sz val="8"/>
      <color indexed="10"/>
      <name val="Arial"/>
      <family val="0"/>
    </font>
    <font>
      <b/>
      <sz val="10"/>
      <name val="Courier New"/>
      <family val="3"/>
    </font>
    <font>
      <sz val="10"/>
      <name val="Courier New"/>
      <family val="3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4"/>
      <name val="Arial"/>
      <family val="0"/>
    </font>
    <font>
      <b/>
      <sz val="14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8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24" borderId="0" xfId="56" applyFont="1" applyFill="1" applyBorder="1" applyAlignment="1">
      <alignment horizontal="center" vertical="center" wrapText="1"/>
      <protection/>
    </xf>
    <xf numFmtId="0" fontId="4" fillId="24" borderId="0" xfId="0" applyFont="1" applyFill="1" applyBorder="1" applyAlignment="1">
      <alignment/>
    </xf>
    <xf numFmtId="0" fontId="4" fillId="24" borderId="0" xfId="56" applyNumberFormat="1" applyFont="1" applyFill="1" applyBorder="1" applyAlignment="1">
      <alignment horizontal="justify"/>
      <protection/>
    </xf>
    <xf numFmtId="0" fontId="4" fillId="24" borderId="0" xfId="56" applyNumberFormat="1" applyFont="1" applyFill="1" applyBorder="1" applyAlignment="1">
      <alignment horizontal="center"/>
      <protection/>
    </xf>
    <xf numFmtId="0" fontId="4" fillId="24" borderId="0" xfId="56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6" fillId="24" borderId="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justify"/>
    </xf>
    <xf numFmtId="0" fontId="1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" fillId="24" borderId="0" xfId="0" applyNumberFormat="1" applyFont="1" applyFill="1" applyBorder="1" applyAlignment="1">
      <alignment/>
    </xf>
    <xf numFmtId="0" fontId="4" fillId="24" borderId="0" xfId="42" applyNumberFormat="1" applyFont="1" applyFill="1" applyBorder="1" applyAlignment="1" applyProtection="1">
      <alignment/>
      <protection/>
    </xf>
    <xf numFmtId="0" fontId="1" fillId="24" borderId="0" xfId="42" applyNumberFormat="1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" fillId="24" borderId="0" xfId="0" applyNumberFormat="1" applyFont="1" applyFill="1" applyBorder="1" applyAlignment="1">
      <alignment horizontal="center"/>
    </xf>
    <xf numFmtId="0" fontId="7" fillId="24" borderId="0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4" fillId="24" borderId="0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24" borderId="0" xfId="0" applyFont="1" applyFill="1" applyBorder="1" applyAlignment="1">
      <alignment/>
    </xf>
    <xf numFmtId="0" fontId="4" fillId="24" borderId="0" xfId="0" applyNumberFormat="1" applyFont="1" applyFill="1" applyBorder="1" applyAlignment="1">
      <alignment horizontal="center"/>
    </xf>
    <xf numFmtId="0" fontId="0" fillId="24" borderId="0" xfId="0" applyNumberFormat="1" applyFont="1" applyFill="1" applyBorder="1" applyAlignment="1">
      <alignment/>
    </xf>
    <xf numFmtId="0" fontId="8" fillId="24" borderId="0" xfId="0" applyNumberFormat="1" applyFont="1" applyFill="1" applyBorder="1" applyAlignment="1">
      <alignment horizontal="center"/>
    </xf>
    <xf numFmtId="0" fontId="0" fillId="24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71" fontId="0" fillId="0" borderId="0" xfId="42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10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43" fontId="1" fillId="0" borderId="15" xfId="42" applyNumberFormat="1" applyFont="1" applyBorder="1" applyAlignment="1">
      <alignment/>
    </xf>
    <xf numFmtId="2" fontId="1" fillId="0" borderId="15" xfId="42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5" xfId="0" applyBorder="1" applyAlignment="1" quotePrefix="1">
      <alignment horizontal="center"/>
    </xf>
    <xf numFmtId="0" fontId="0" fillId="0" borderId="20" xfId="0" applyBorder="1" applyAlignment="1" quotePrefix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4" borderId="15" xfId="0" applyFont="1" applyFill="1" applyBorder="1" applyAlignment="1">
      <alignment/>
    </xf>
    <xf numFmtId="43" fontId="0" fillId="0" borderId="15" xfId="42" applyNumberFormat="1" applyFont="1" applyBorder="1" applyAlignment="1">
      <alignment/>
    </xf>
    <xf numFmtId="43" fontId="0" fillId="4" borderId="15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22" xfId="0" applyBorder="1" applyAlignment="1">
      <alignment horizontal="center"/>
    </xf>
    <xf numFmtId="0" fontId="0" fillId="0" borderId="15" xfId="0" applyFont="1" applyFill="1" applyBorder="1" applyAlignment="1">
      <alignment/>
    </xf>
    <xf numFmtId="43" fontId="0" fillId="4" borderId="15" xfId="0" applyNumberFormat="1" applyFont="1" applyFill="1" applyBorder="1" applyAlignment="1">
      <alignment/>
    </xf>
    <xf numFmtId="2" fontId="0" fillId="4" borderId="15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4" borderId="22" xfId="0" applyFont="1" applyFill="1" applyBorder="1" applyAlignment="1">
      <alignment/>
    </xf>
    <xf numFmtId="171" fontId="1" fillId="0" borderId="0" xfId="42" applyFont="1" applyAlignment="1">
      <alignment/>
    </xf>
    <xf numFmtId="0" fontId="0" fillId="0" borderId="0" xfId="0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2" fontId="1" fillId="0" borderId="23" xfId="0" applyNumberFormat="1" applyFont="1" applyBorder="1" applyAlignment="1">
      <alignment/>
    </xf>
    <xf numFmtId="0" fontId="1" fillId="24" borderId="24" xfId="0" applyFont="1" applyFill="1" applyBorder="1" applyAlignment="1">
      <alignment/>
    </xf>
    <xf numFmtId="0" fontId="0" fillId="24" borderId="24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43" fontId="1" fillId="0" borderId="15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24" borderId="25" xfId="0" applyFont="1" applyFill="1" applyBorder="1" applyAlignment="1">
      <alignment/>
    </xf>
    <xf numFmtId="0" fontId="1" fillId="24" borderId="25" xfId="0" applyNumberFormat="1" applyFont="1" applyFill="1" applyBorder="1" applyAlignment="1">
      <alignment horizontal="center"/>
    </xf>
    <xf numFmtId="0" fontId="0" fillId="0" borderId="15" xfId="0" applyFont="1" applyBorder="1" applyAlignment="1">
      <alignment wrapText="1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24" borderId="26" xfId="0" applyFont="1" applyFill="1" applyBorder="1" applyAlignment="1">
      <alignment horizontal="center"/>
    </xf>
    <xf numFmtId="0" fontId="0" fillId="24" borderId="26" xfId="0" applyNumberFormat="1" applyFont="1" applyFill="1" applyBorder="1" applyAlignment="1">
      <alignment horizontal="left"/>
    </xf>
    <xf numFmtId="0" fontId="0" fillId="24" borderId="26" xfId="0" applyNumberFormat="1" applyFill="1" applyBorder="1" applyAlignment="1">
      <alignment horizontal="left"/>
    </xf>
    <xf numFmtId="2" fontId="0" fillId="4" borderId="15" xfId="42" applyNumberFormat="1" applyFont="1" applyFill="1" applyBorder="1" applyAlignment="1">
      <alignment/>
    </xf>
    <xf numFmtId="0" fontId="0" fillId="24" borderId="27" xfId="0" applyFont="1" applyFill="1" applyBorder="1" applyAlignment="1">
      <alignment horizontal="center"/>
    </xf>
    <xf numFmtId="0" fontId="0" fillId="24" borderId="27" xfId="0" applyNumberFormat="1" applyFont="1" applyFill="1" applyBorder="1" applyAlignment="1">
      <alignment horizontal="left"/>
    </xf>
    <xf numFmtId="0" fontId="0" fillId="24" borderId="15" xfId="0" applyFont="1" applyFill="1" applyBorder="1" applyAlignment="1">
      <alignment horizontal="center"/>
    </xf>
    <xf numFmtId="0" fontId="6" fillId="24" borderId="15" xfId="0" applyNumberFormat="1" applyFont="1" applyFill="1" applyBorder="1" applyAlignment="1">
      <alignment horizontal="left"/>
    </xf>
    <xf numFmtId="0" fontId="0" fillId="25" borderId="15" xfId="0" applyNumberFormat="1" applyFont="1" applyFill="1" applyBorder="1" applyAlignment="1">
      <alignment horizontal="right"/>
    </xf>
    <xf numFmtId="4" fontId="0" fillId="26" borderId="15" xfId="0" applyNumberFormat="1" applyFont="1" applyFill="1" applyBorder="1" applyAlignment="1">
      <alignment/>
    </xf>
    <xf numFmtId="0" fontId="0" fillId="24" borderId="15" xfId="0" applyNumberForma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4" borderId="15" xfId="0" applyFill="1" applyBorder="1" applyAlignment="1">
      <alignment/>
    </xf>
    <xf numFmtId="2" fontId="0" fillId="0" borderId="15" xfId="0" applyNumberFormat="1" applyBorder="1" applyAlignment="1">
      <alignment/>
    </xf>
    <xf numFmtId="43" fontId="0" fillId="0" borderId="15" xfId="0" applyNumberFormat="1" applyBorder="1" applyAlignment="1">
      <alignment/>
    </xf>
    <xf numFmtId="0" fontId="0" fillId="24" borderId="15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3" fontId="1" fillId="0" borderId="0" xfId="42" applyNumberFormat="1" applyFont="1" applyBorder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0" xfId="0" applyNumberFormat="1" applyFont="1" applyFill="1" applyBorder="1" applyAlignment="1">
      <alignment horizontal="left"/>
    </xf>
    <xf numFmtId="171" fontId="0" fillId="27" borderId="0" xfId="42" applyFont="1" applyFill="1" applyBorder="1" applyAlignment="1">
      <alignment horizontal="center"/>
    </xf>
    <xf numFmtId="0" fontId="0" fillId="0" borderId="0" xfId="0" applyBorder="1" applyAlignment="1">
      <alignment/>
    </xf>
    <xf numFmtId="4" fontId="1" fillId="0" borderId="23" xfId="0" applyNumberFormat="1" applyFont="1" applyBorder="1" applyAlignment="1">
      <alignment/>
    </xf>
    <xf numFmtId="0" fontId="6" fillId="24" borderId="0" xfId="0" applyNumberFormat="1" applyFont="1" applyFill="1" applyBorder="1" applyAlignment="1">
      <alignment horizontal="left"/>
    </xf>
    <xf numFmtId="0" fontId="0" fillId="24" borderId="0" xfId="0" applyNumberFormat="1" applyFont="1" applyFill="1" applyBorder="1" applyAlignment="1">
      <alignment horizontal="right"/>
    </xf>
    <xf numFmtId="0" fontId="0" fillId="26" borderId="0" xfId="0" applyFont="1" applyFill="1" applyBorder="1" applyAlignment="1">
      <alignment/>
    </xf>
    <xf numFmtId="43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4" fontId="11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8" fillId="0" borderId="0" xfId="0" applyFont="1" applyAlignment="1">
      <alignment/>
    </xf>
    <xf numFmtId="4" fontId="1" fillId="0" borderId="15" xfId="0" applyNumberFormat="1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4" fontId="0" fillId="26" borderId="0" xfId="0" applyNumberFormat="1" applyFill="1" applyAlignment="1">
      <alignment/>
    </xf>
    <xf numFmtId="0" fontId="0" fillId="26" borderId="0" xfId="0" applyFill="1" applyAlignment="1">
      <alignment/>
    </xf>
    <xf numFmtId="0" fontId="0" fillId="26" borderId="15" xfId="0" applyFont="1" applyFill="1" applyBorder="1" applyAlignment="1">
      <alignment/>
    </xf>
    <xf numFmtId="4" fontId="0" fillId="26" borderId="28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4" fontId="10" fillId="26" borderId="0" xfId="0" applyNumberFormat="1" applyFont="1" applyFill="1" applyAlignment="1">
      <alignment/>
    </xf>
    <xf numFmtId="0" fontId="12" fillId="0" borderId="0" xfId="0" applyFont="1" applyAlignment="1">
      <alignment horizontal="center"/>
    </xf>
    <xf numFmtId="0" fontId="1" fillId="0" borderId="15" xfId="0" applyFont="1" applyBorder="1" applyAlignment="1">
      <alignment wrapText="1"/>
    </xf>
    <xf numFmtId="10" fontId="0" fillId="26" borderId="0" xfId="0" applyNumberFormat="1" applyFill="1" applyAlignment="1">
      <alignment/>
    </xf>
    <xf numFmtId="0" fontId="12" fillId="0" borderId="0" xfId="0" applyFont="1" applyAlignment="1">
      <alignment/>
    </xf>
    <xf numFmtId="4" fontId="1" fillId="26" borderId="28" xfId="0" applyNumberFormat="1" applyFont="1" applyFill="1" applyBorder="1" applyAlignment="1">
      <alignment/>
    </xf>
    <xf numFmtId="0" fontId="12" fillId="0" borderId="29" xfId="0" applyFont="1" applyBorder="1" applyAlignment="1">
      <alignment wrapText="1"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4" fontId="12" fillId="0" borderId="0" xfId="0" applyNumberFormat="1" applyFont="1" applyBorder="1" applyAlignment="1">
      <alignment/>
    </xf>
    <xf numFmtId="0" fontId="12" fillId="0" borderId="32" xfId="0" applyFont="1" applyBorder="1" applyAlignment="1">
      <alignment horizontal="center"/>
    </xf>
    <xf numFmtId="4" fontId="12" fillId="0" borderId="0" xfId="0" applyNumberFormat="1" applyFont="1" applyBorder="1" applyAlignment="1" quotePrefix="1">
      <alignment/>
    </xf>
    <xf numFmtId="3" fontId="12" fillId="0" borderId="0" xfId="0" applyNumberFormat="1" applyFont="1" applyBorder="1" applyAlignment="1">
      <alignment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vertical="top" wrapText="1"/>
    </xf>
    <xf numFmtId="3" fontId="14" fillId="0" borderId="0" xfId="0" applyNumberFormat="1" applyFont="1" applyAlignment="1">
      <alignment/>
    </xf>
    <xf numFmtId="2" fontId="1" fillId="0" borderId="15" xfId="0" applyNumberFormat="1" applyFont="1" applyBorder="1" applyAlignment="1">
      <alignment/>
    </xf>
    <xf numFmtId="2" fontId="0" fillId="0" borderId="0" xfId="0" applyNumberFormat="1" applyAlignment="1">
      <alignment/>
    </xf>
    <xf numFmtId="4" fontId="1" fillId="26" borderId="15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" fillId="26" borderId="28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1" fillId="26" borderId="0" xfId="0" applyFont="1" applyFill="1" applyAlignment="1">
      <alignment horizontal="right"/>
    </xf>
    <xf numFmtId="4" fontId="1" fillId="26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4" fontId="11" fillId="26" borderId="0" xfId="0" applyNumberFormat="1" applyFont="1" applyFill="1" applyAlignment="1">
      <alignment/>
    </xf>
    <xf numFmtId="0" fontId="1" fillId="26" borderId="0" xfId="0" applyFont="1" applyFill="1" applyAlignment="1">
      <alignment/>
    </xf>
    <xf numFmtId="3" fontId="1" fillId="26" borderId="0" xfId="0" applyNumberFormat="1" applyFont="1" applyFill="1" applyAlignment="1">
      <alignment/>
    </xf>
    <xf numFmtId="4" fontId="11" fillId="26" borderId="0" xfId="0" applyNumberFormat="1" applyFont="1" applyFill="1" applyAlignment="1">
      <alignment/>
    </xf>
    <xf numFmtId="0" fontId="10" fillId="26" borderId="0" xfId="0" applyFont="1" applyFill="1" applyAlignment="1">
      <alignment horizontal="left"/>
    </xf>
    <xf numFmtId="0" fontId="11" fillId="26" borderId="0" xfId="0" applyFont="1" applyFill="1" applyAlignment="1">
      <alignment horizontal="center"/>
    </xf>
    <xf numFmtId="3" fontId="11" fillId="26" borderId="0" xfId="0" applyNumberFormat="1" applyFont="1" applyFill="1" applyAlignment="1">
      <alignment horizontal="center"/>
    </xf>
    <xf numFmtId="0" fontId="0" fillId="26" borderId="0" xfId="0" applyFont="1" applyFill="1" applyAlignment="1">
      <alignment horizontal="left"/>
    </xf>
    <xf numFmtId="43" fontId="11" fillId="26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15" fillId="0" borderId="0" xfId="0" applyFont="1" applyAlignment="1">
      <alignment/>
    </xf>
    <xf numFmtId="4" fontId="0" fillId="26" borderId="0" xfId="0" applyNumberFormat="1" applyFont="1" applyFill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" fillId="26" borderId="0" xfId="0" applyFont="1" applyFill="1" applyAlignment="1">
      <alignment/>
    </xf>
    <xf numFmtId="3" fontId="1" fillId="26" borderId="0" xfId="0" applyNumberFormat="1" applyFont="1" applyFill="1" applyAlignment="1">
      <alignment/>
    </xf>
    <xf numFmtId="4" fontId="1" fillId="26" borderId="0" xfId="0" applyNumberFormat="1" applyFont="1" applyFill="1" applyAlignment="1">
      <alignment/>
    </xf>
    <xf numFmtId="0" fontId="17" fillId="0" borderId="0" xfId="0" applyFont="1" applyAlignment="1">
      <alignment/>
    </xf>
    <xf numFmtId="3" fontId="0" fillId="26" borderId="0" xfId="0" applyNumberFormat="1" applyFont="1" applyFill="1" applyAlignment="1">
      <alignment/>
    </xf>
    <xf numFmtId="173" fontId="0" fillId="26" borderId="0" xfId="0" applyNumberFormat="1" applyFont="1" applyFill="1" applyAlignment="1">
      <alignment/>
    </xf>
    <xf numFmtId="4" fontId="11" fillId="26" borderId="0" xfId="0" applyNumberFormat="1" applyFont="1" applyFill="1" applyAlignment="1">
      <alignment horizontal="center"/>
    </xf>
    <xf numFmtId="4" fontId="0" fillId="0" borderId="0" xfId="0" applyNumberFormat="1" applyFont="1" applyAlignment="1">
      <alignment/>
    </xf>
    <xf numFmtId="4" fontId="1" fillId="26" borderId="15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/>
    </xf>
    <xf numFmtId="171" fontId="0" fillId="24" borderId="26" xfId="42" applyFont="1" applyFill="1" applyBorder="1" applyAlignment="1">
      <alignment horizontal="right"/>
    </xf>
    <xf numFmtId="171" fontId="0" fillId="28" borderId="26" xfId="42" applyFont="1" applyFill="1" applyBorder="1" applyAlignment="1">
      <alignment horizontal="right"/>
    </xf>
    <xf numFmtId="0" fontId="0" fillId="4" borderId="15" xfId="0" applyFont="1" applyFill="1" applyBorder="1" applyAlignment="1">
      <alignment horizontal="right"/>
    </xf>
    <xf numFmtId="171" fontId="0" fillId="28" borderId="27" xfId="42" applyFont="1" applyFill="1" applyBorder="1" applyAlignment="1">
      <alignment/>
    </xf>
    <xf numFmtId="2" fontId="14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2" fontId="0" fillId="0" borderId="28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35" xfId="0" applyNumberFormat="1" applyFont="1" applyBorder="1" applyAlignment="1">
      <alignment/>
    </xf>
    <xf numFmtId="4" fontId="1" fillId="26" borderId="35" xfId="0" applyNumberFormat="1" applyFont="1" applyFill="1" applyBorder="1" applyAlignment="1">
      <alignment/>
    </xf>
    <xf numFmtId="4" fontId="0" fillId="26" borderId="35" xfId="0" applyNumberFormat="1" applyFont="1" applyFill="1" applyBorder="1" applyAlignment="1">
      <alignment/>
    </xf>
    <xf numFmtId="4" fontId="1" fillId="26" borderId="35" xfId="0" applyNumberFormat="1" applyFont="1" applyFill="1" applyBorder="1" applyAlignment="1">
      <alignment/>
    </xf>
    <xf numFmtId="4" fontId="1" fillId="0" borderId="35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4" fontId="0" fillId="0" borderId="0" xfId="0" applyNumberFormat="1" applyFont="1" applyFill="1" applyBorder="1" applyAlignment="1">
      <alignment/>
    </xf>
    <xf numFmtId="4" fontId="1" fillId="0" borderId="36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0" fillId="26" borderId="36" xfId="0" applyNumberFormat="1" applyFont="1" applyFill="1" applyBorder="1" applyAlignment="1">
      <alignment/>
    </xf>
    <xf numFmtId="4" fontId="1" fillId="0" borderId="36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0" fillId="4" borderId="28" xfId="55" applyNumberFormat="1" applyFont="1" applyFill="1" applyBorder="1">
      <alignment/>
      <protection/>
    </xf>
    <xf numFmtId="4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26" borderId="0" xfId="0" applyFont="1" applyFill="1" applyAlignment="1">
      <alignment/>
    </xf>
    <xf numFmtId="4" fontId="0" fillId="26" borderId="0" xfId="0" applyNumberFormat="1" applyFont="1" applyFill="1" applyAlignment="1">
      <alignment/>
    </xf>
    <xf numFmtId="3" fontId="0" fillId="26" borderId="0" xfId="0" applyNumberFormat="1" applyFont="1" applyFill="1" applyAlignment="1">
      <alignment/>
    </xf>
    <xf numFmtId="173" fontId="0" fillId="26" borderId="0" xfId="0" applyNumberFormat="1" applyFont="1" applyFill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12" fillId="0" borderId="0" xfId="0" applyFont="1" applyAlignment="1">
      <alignment/>
    </xf>
    <xf numFmtId="0" fontId="3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5" xfId="0" applyFont="1" applyBorder="1" applyAlignment="1">
      <alignment/>
    </xf>
    <xf numFmtId="43" fontId="8" fillId="0" borderId="15" xfId="42" applyNumberFormat="1" applyFont="1" applyBorder="1" applyAlignment="1">
      <alignment/>
    </xf>
    <xf numFmtId="2" fontId="8" fillId="0" borderId="15" xfId="42" applyNumberFormat="1" applyFont="1" applyBorder="1" applyAlignment="1">
      <alignment/>
    </xf>
    <xf numFmtId="0" fontId="12" fillId="0" borderId="19" xfId="0" applyFont="1" applyBorder="1" applyAlignment="1">
      <alignment horizontal="center"/>
    </xf>
    <xf numFmtId="0" fontId="12" fillId="0" borderId="15" xfId="0" applyFont="1" applyBorder="1" applyAlignment="1" quotePrefix="1">
      <alignment horizontal="center"/>
    </xf>
    <xf numFmtId="0" fontId="12" fillId="0" borderId="20" xfId="0" applyFont="1" applyBorder="1" applyAlignment="1" quotePrefix="1">
      <alignment horizontal="center"/>
    </xf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4" borderId="15" xfId="0" applyFont="1" applyFill="1" applyBorder="1" applyAlignment="1">
      <alignment/>
    </xf>
    <xf numFmtId="43" fontId="12" fillId="0" borderId="15" xfId="42" applyNumberFormat="1" applyFont="1" applyBorder="1" applyAlignment="1">
      <alignment/>
    </xf>
    <xf numFmtId="43" fontId="12" fillId="4" borderId="15" xfId="42" applyNumberFormat="1" applyFont="1" applyFill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 quotePrefix="1">
      <alignment horizontal="center"/>
    </xf>
    <xf numFmtId="0" fontId="12" fillId="0" borderId="0" xfId="0" applyFont="1" applyBorder="1" applyAlignment="1" quotePrefix="1">
      <alignment horizontal="center"/>
    </xf>
    <xf numFmtId="0" fontId="12" fillId="0" borderId="22" xfId="0" applyFont="1" applyBorder="1" applyAlignment="1">
      <alignment horizontal="center"/>
    </xf>
    <xf numFmtId="0" fontId="12" fillId="0" borderId="15" xfId="0" applyFont="1" applyFill="1" applyBorder="1" applyAlignment="1">
      <alignment/>
    </xf>
    <xf numFmtId="43" fontId="12" fillId="4" borderId="15" xfId="0" applyNumberFormat="1" applyFont="1" applyFill="1" applyBorder="1" applyAlignment="1">
      <alignment/>
    </xf>
    <xf numFmtId="2" fontId="12" fillId="4" borderId="15" xfId="0" applyNumberFormat="1" applyFont="1" applyFill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2" xfId="0" applyFont="1" applyFill="1" applyBorder="1" applyAlignment="1">
      <alignment/>
    </xf>
    <xf numFmtId="0" fontId="12" fillId="4" borderId="22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/>
    </xf>
    <xf numFmtId="2" fontId="8" fillId="0" borderId="23" xfId="0" applyNumberFormat="1" applyFont="1" applyBorder="1" applyAlignment="1">
      <alignment/>
    </xf>
    <xf numFmtId="0" fontId="8" fillId="0" borderId="22" xfId="0" applyFont="1" applyFill="1" applyBorder="1" applyAlignment="1">
      <alignment/>
    </xf>
    <xf numFmtId="43" fontId="8" fillId="0" borderId="1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12" fillId="4" borderId="15" xfId="42" applyNumberFormat="1" applyFont="1" applyFill="1" applyBorder="1" applyAlignment="1">
      <alignment/>
    </xf>
    <xf numFmtId="0" fontId="12" fillId="0" borderId="15" xfId="0" applyFont="1" applyBorder="1" applyAlignment="1">
      <alignment/>
    </xf>
    <xf numFmtId="0" fontId="12" fillId="0" borderId="15" xfId="0" applyFont="1" applyFill="1" applyBorder="1" applyAlignment="1">
      <alignment/>
    </xf>
    <xf numFmtId="0" fontId="12" fillId="4" borderId="15" xfId="0" applyFont="1" applyFill="1" applyBorder="1" applyAlignment="1">
      <alignment/>
    </xf>
    <xf numFmtId="2" fontId="12" fillId="0" borderId="15" xfId="0" applyNumberFormat="1" applyFont="1" applyBorder="1" applyAlignment="1">
      <alignment/>
    </xf>
    <xf numFmtId="43" fontId="12" fillId="0" borderId="15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3" fontId="8" fillId="0" borderId="0" xfId="42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15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2" fontId="1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4" fontId="1" fillId="26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2" fillId="26" borderId="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15" xfId="0" applyFont="1" applyBorder="1" applyAlignment="1">
      <alignment/>
    </xf>
    <xf numFmtId="3" fontId="38" fillId="0" borderId="15" xfId="0" applyNumberFormat="1" applyFont="1" applyBorder="1" applyAlignment="1">
      <alignment/>
    </xf>
    <xf numFmtId="0" fontId="37" fillId="0" borderId="15" xfId="0" applyFont="1" applyBorder="1" applyAlignment="1">
      <alignment/>
    </xf>
    <xf numFmtId="3" fontId="37" fillId="0" borderId="15" xfId="0" applyNumberFormat="1" applyFont="1" applyBorder="1" applyAlignment="1">
      <alignment/>
    </xf>
    <xf numFmtId="0" fontId="37" fillId="0" borderId="15" xfId="0" applyFont="1" applyBorder="1" applyAlignment="1">
      <alignment horizontal="left"/>
    </xf>
    <xf numFmtId="0" fontId="38" fillId="0" borderId="15" xfId="0" applyFont="1" applyBorder="1" applyAlignment="1">
      <alignment/>
    </xf>
    <xf numFmtId="3" fontId="38" fillId="0" borderId="15" xfId="0" applyNumberFormat="1" applyFont="1" applyBorder="1" applyAlignment="1">
      <alignment/>
    </xf>
    <xf numFmtId="0" fontId="37" fillId="0" borderId="15" xfId="0" applyFont="1" applyBorder="1" applyAlignment="1">
      <alignment horizontal="right"/>
    </xf>
    <xf numFmtId="0" fontId="8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15" xfId="0" applyFont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8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0" xfId="0" applyNumberFormat="1" applyAlignment="1">
      <alignment/>
    </xf>
    <xf numFmtId="4" fontId="12" fillId="4" borderId="15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71" fontId="0" fillId="0" borderId="0" xfId="42" applyAlignment="1">
      <alignment horizontal="center"/>
    </xf>
    <xf numFmtId="2" fontId="0" fillId="26" borderId="0" xfId="0" applyNumberFormat="1" applyFill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0" fontId="0" fillId="0" borderId="37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38" xfId="0" applyFont="1" applyBorder="1" applyAlignment="1">
      <alignment horizontal="center"/>
    </xf>
    <xf numFmtId="0" fontId="1" fillId="0" borderId="32" xfId="0" applyFont="1" applyBorder="1" applyAlignment="1">
      <alignment wrapText="1"/>
    </xf>
    <xf numFmtId="0" fontId="1" fillId="0" borderId="3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1" fillId="0" borderId="39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4" fontId="1" fillId="0" borderId="15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0" fontId="0" fillId="0" borderId="15" xfId="0" applyFont="1" applyBorder="1" applyAlignment="1">
      <alignment horizontal="center"/>
    </xf>
    <xf numFmtId="4" fontId="0" fillId="4" borderId="15" xfId="0" applyNumberFormat="1" applyFont="1" applyFill="1" applyBorder="1" applyAlignment="1">
      <alignment/>
    </xf>
    <xf numFmtId="4" fontId="0" fillId="4" borderId="15" xfId="0" applyNumberFormat="1" applyFont="1" applyFill="1" applyBorder="1" applyAlignment="1">
      <alignment wrapText="1"/>
    </xf>
    <xf numFmtId="0" fontId="1" fillId="0" borderId="15" xfId="0" applyFont="1" applyBorder="1" applyAlignment="1" quotePrefix="1">
      <alignment horizontal="center"/>
    </xf>
    <xf numFmtId="4" fontId="1" fillId="0" borderId="23" xfId="0" applyNumberFormat="1" applyFont="1" applyBorder="1" applyAlignment="1">
      <alignment/>
    </xf>
    <xf numFmtId="0" fontId="0" fillId="0" borderId="15" xfId="0" applyFont="1" applyBorder="1" applyAlignment="1" quotePrefix="1">
      <alignment horizontal="center"/>
    </xf>
    <xf numFmtId="0" fontId="1" fillId="0" borderId="15" xfId="0" applyFont="1" applyFill="1" applyBorder="1" applyAlignment="1" quotePrefix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 quotePrefix="1">
      <alignment horizontal="center"/>
    </xf>
    <xf numFmtId="0" fontId="1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 quotePrefix="1">
      <alignment horizontal="center"/>
    </xf>
    <xf numFmtId="0" fontId="1" fillId="26" borderId="15" xfId="0" applyFont="1" applyFill="1" applyBorder="1" applyAlignment="1">
      <alignment horizontal="center"/>
    </xf>
    <xf numFmtId="0" fontId="0" fillId="26" borderId="15" xfId="0" applyFont="1" applyFill="1" applyBorder="1" applyAlignment="1">
      <alignment horizontal="center"/>
    </xf>
    <xf numFmtId="0" fontId="0" fillId="26" borderId="15" xfId="0" applyFont="1" applyFill="1" applyBorder="1" applyAlignment="1" quotePrefix="1">
      <alignment horizontal="center"/>
    </xf>
    <xf numFmtId="4" fontId="0" fillId="0" borderId="23" xfId="0" applyNumberFormat="1" applyFont="1" applyBorder="1" applyAlignment="1">
      <alignment/>
    </xf>
    <xf numFmtId="0" fontId="1" fillId="0" borderId="15" xfId="0" applyFont="1" applyBorder="1" applyAlignment="1">
      <alignment wrapText="1"/>
    </xf>
    <xf numFmtId="0" fontId="1" fillId="29" borderId="15" xfId="0" applyFont="1" applyFill="1" applyBorder="1" applyAlignment="1">
      <alignment horizontal="center"/>
    </xf>
    <xf numFmtId="0" fontId="0" fillId="29" borderId="15" xfId="0" applyFont="1" applyFill="1" applyBorder="1" applyAlignment="1">
      <alignment horizontal="center"/>
    </xf>
    <xf numFmtId="0" fontId="1" fillId="29" borderId="15" xfId="0" applyFont="1" applyFill="1" applyBorder="1" applyAlignment="1">
      <alignment/>
    </xf>
    <xf numFmtId="4" fontId="1" fillId="29" borderId="15" xfId="0" applyNumberFormat="1" applyFont="1" applyFill="1" applyBorder="1" applyAlignment="1">
      <alignment/>
    </xf>
    <xf numFmtId="4" fontId="0" fillId="29" borderId="15" xfId="0" applyNumberFormat="1" applyFont="1" applyFill="1" applyBorder="1" applyAlignment="1">
      <alignment/>
    </xf>
    <xf numFmtId="4" fontId="1" fillId="29" borderId="23" xfId="0" applyNumberFormat="1" applyFont="1" applyFill="1" applyBorder="1" applyAlignment="1">
      <alignment/>
    </xf>
    <xf numFmtId="0" fontId="1" fillId="29" borderId="15" xfId="0" applyFont="1" applyFill="1" applyBorder="1" applyAlignment="1" quotePrefix="1">
      <alignment horizontal="center"/>
    </xf>
    <xf numFmtId="0" fontId="0" fillId="29" borderId="15" xfId="0" applyFont="1" applyFill="1" applyBorder="1" applyAlignment="1" quotePrefix="1">
      <alignment horizontal="center"/>
    </xf>
    <xf numFmtId="0" fontId="0" fillId="29" borderId="15" xfId="0" applyFont="1" applyFill="1" applyBorder="1" applyAlignment="1">
      <alignment/>
    </xf>
    <xf numFmtId="49" fontId="1" fillId="29" borderId="15" xfId="0" applyNumberFormat="1" applyFont="1" applyFill="1" applyBorder="1" applyAlignment="1">
      <alignment horizontal="center"/>
    </xf>
    <xf numFmtId="0" fontId="1" fillId="29" borderId="15" xfId="0" applyFont="1" applyFill="1" applyBorder="1" applyAlignment="1">
      <alignment wrapText="1"/>
    </xf>
    <xf numFmtId="4" fontId="1" fillId="0" borderId="15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0" fillId="26" borderId="15" xfId="0" applyFont="1" applyFill="1" applyBorder="1" applyAlignment="1">
      <alignment horizontal="center"/>
    </xf>
    <xf numFmtId="0" fontId="1" fillId="26" borderId="15" xfId="0" applyFont="1" applyFill="1" applyBorder="1" applyAlignment="1">
      <alignment/>
    </xf>
    <xf numFmtId="0" fontId="1" fillId="26" borderId="15" xfId="0" applyFont="1" applyFill="1" applyBorder="1" applyAlignment="1" quotePrefix="1">
      <alignment horizontal="center"/>
    </xf>
    <xf numFmtId="0" fontId="0" fillId="26" borderId="15" xfId="0" applyFont="1" applyFill="1" applyBorder="1" applyAlignment="1">
      <alignment/>
    </xf>
    <xf numFmtId="4" fontId="0" fillId="4" borderId="23" xfId="0" applyNumberFormat="1" applyFont="1" applyFill="1" applyBorder="1" applyAlignment="1">
      <alignment/>
    </xf>
    <xf numFmtId="0" fontId="1" fillId="29" borderId="15" xfId="0" applyFont="1" applyFill="1" applyBorder="1" applyAlignment="1">
      <alignment wrapText="1"/>
    </xf>
    <xf numFmtId="4" fontId="1" fillId="0" borderId="23" xfId="0" applyNumberFormat="1" applyFont="1" applyBorder="1" applyAlignment="1">
      <alignment/>
    </xf>
    <xf numFmtId="4" fontId="1" fillId="4" borderId="15" xfId="0" applyNumberFormat="1" applyFont="1" applyFill="1" applyBorder="1" applyAlignment="1">
      <alignment/>
    </xf>
    <xf numFmtId="4" fontId="0" fillId="4" borderId="15" xfId="55" applyNumberFormat="1" applyFont="1" applyFill="1" applyBorder="1">
      <alignment/>
      <protection/>
    </xf>
    <xf numFmtId="4" fontId="0" fillId="0" borderId="15" xfId="0" applyNumberFormat="1" applyFont="1" applyBorder="1" applyAlignment="1">
      <alignment/>
    </xf>
    <xf numFmtId="0" fontId="1" fillId="29" borderId="15" xfId="0" applyFont="1" applyFill="1" applyBorder="1" applyAlignment="1">
      <alignment/>
    </xf>
    <xf numFmtId="0" fontId="0" fillId="29" borderId="15" xfId="0" applyFont="1" applyFill="1" applyBorder="1" applyAlignment="1">
      <alignment/>
    </xf>
    <xf numFmtId="4" fontId="0" fillId="26" borderId="23" xfId="0" applyNumberFormat="1" applyFont="1" applyFill="1" applyBorder="1" applyAlignment="1">
      <alignment/>
    </xf>
    <xf numFmtId="0" fontId="1" fillId="0" borderId="15" xfId="0" applyFont="1" applyBorder="1" applyAlignment="1" quotePrefix="1">
      <alignment horizontal="center"/>
    </xf>
    <xf numFmtId="4" fontId="1" fillId="4" borderId="15" xfId="0" applyNumberFormat="1" applyFont="1" applyFill="1" applyBorder="1" applyAlignment="1">
      <alignment/>
    </xf>
    <xf numFmtId="4" fontId="10" fillId="4" borderId="15" xfId="0" applyNumberFormat="1" applyFont="1" applyFill="1" applyBorder="1" applyAlignment="1">
      <alignment/>
    </xf>
    <xf numFmtId="4" fontId="1" fillId="26" borderId="15" xfId="0" applyNumberFormat="1" applyFont="1" applyFill="1" applyBorder="1" applyAlignment="1">
      <alignment/>
    </xf>
    <xf numFmtId="0" fontId="13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49" fontId="0" fillId="0" borderId="15" xfId="0" applyNumberFormat="1" applyFont="1" applyBorder="1" applyAlignment="1">
      <alignment horizontal="center"/>
    </xf>
    <xf numFmtId="4" fontId="2" fillId="4" borderId="15" xfId="0" applyNumberFormat="1" applyFont="1" applyFill="1" applyBorder="1" applyAlignment="1">
      <alignment/>
    </xf>
    <xf numFmtId="0" fontId="1" fillId="0" borderId="3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4" xfId="0" applyFont="1" applyBorder="1" applyAlignment="1">
      <alignment/>
    </xf>
    <xf numFmtId="4" fontId="1" fillId="4" borderId="34" xfId="0" applyNumberFormat="1" applyFont="1" applyFill="1" applyBorder="1" applyAlignment="1">
      <alignment/>
    </xf>
    <xf numFmtId="4" fontId="1" fillId="0" borderId="3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24" borderId="0" xfId="0" applyFont="1" applyFill="1" applyBorder="1" applyAlignment="1">
      <alignment/>
    </xf>
    <xf numFmtId="4" fontId="1" fillId="0" borderId="0" xfId="0" applyNumberFormat="1" applyFont="1" applyAlignment="1">
      <alignment/>
    </xf>
    <xf numFmtId="0" fontId="10" fillId="26" borderId="0" xfId="0" applyFont="1" applyFill="1" applyAlignment="1">
      <alignment horizontal="center"/>
    </xf>
    <xf numFmtId="2" fontId="0" fillId="0" borderId="0" xfId="0" applyNumberFormat="1" applyFont="1" applyBorder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40" xfId="0" applyFont="1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1" fillId="0" borderId="41" xfId="0" applyFont="1" applyBorder="1" applyAlignment="1">
      <alignment horizontal="center"/>
    </xf>
    <xf numFmtId="4" fontId="0" fillId="4" borderId="35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4" fontId="1" fillId="0" borderId="35" xfId="0" applyNumberFormat="1" applyFont="1" applyBorder="1" applyAlignment="1">
      <alignment/>
    </xf>
    <xf numFmtId="4" fontId="0" fillId="0" borderId="35" xfId="0" applyNumberFormat="1" applyFont="1" applyBorder="1" applyAlignment="1">
      <alignment/>
    </xf>
    <xf numFmtId="4" fontId="0" fillId="0" borderId="35" xfId="0" applyNumberFormat="1" applyFont="1" applyBorder="1" applyAlignment="1">
      <alignment/>
    </xf>
    <xf numFmtId="4" fontId="1" fillId="29" borderId="15" xfId="0" applyNumberFormat="1" applyFont="1" applyFill="1" applyBorder="1" applyAlignment="1">
      <alignment/>
    </xf>
    <xf numFmtId="4" fontId="1" fillId="29" borderId="35" xfId="0" applyNumberFormat="1" applyFont="1" applyFill="1" applyBorder="1" applyAlignment="1">
      <alignment/>
    </xf>
    <xf numFmtId="4" fontId="0" fillId="29" borderId="35" xfId="0" applyNumberFormat="1" applyFont="1" applyFill="1" applyBorder="1" applyAlignment="1">
      <alignment/>
    </xf>
    <xf numFmtId="4" fontId="0" fillId="29" borderId="15" xfId="0" applyNumberFormat="1" applyFont="1" applyFill="1" applyBorder="1" applyAlignment="1">
      <alignment/>
    </xf>
    <xf numFmtId="4" fontId="0" fillId="29" borderId="35" xfId="0" applyNumberFormat="1" applyFont="1" applyFill="1" applyBorder="1" applyAlignment="1">
      <alignment/>
    </xf>
    <xf numFmtId="4" fontId="0" fillId="4" borderId="0" xfId="0" applyNumberFormat="1" applyFont="1" applyFill="1" applyAlignment="1">
      <alignment/>
    </xf>
    <xf numFmtId="4" fontId="0" fillId="4" borderId="35" xfId="0" applyNumberFormat="1" applyFont="1" applyFill="1" applyBorder="1" applyAlignment="1">
      <alignment horizontal="center"/>
    </xf>
    <xf numFmtId="4" fontId="1" fillId="4" borderId="35" xfId="0" applyNumberFormat="1" applyFont="1" applyFill="1" applyBorder="1" applyAlignment="1">
      <alignment/>
    </xf>
    <xf numFmtId="4" fontId="1" fillId="4" borderId="35" xfId="0" applyNumberFormat="1" applyFont="1" applyFill="1" applyBorder="1" applyAlignment="1">
      <alignment/>
    </xf>
    <xf numFmtId="2" fontId="1" fillId="0" borderId="35" xfId="0" applyNumberFormat="1" applyFont="1" applyBorder="1" applyAlignment="1">
      <alignment/>
    </xf>
    <xf numFmtId="2" fontId="0" fillId="4" borderId="15" xfId="55" applyNumberFormat="1" applyFont="1" applyFill="1" applyBorder="1">
      <alignment/>
      <protection/>
    </xf>
    <xf numFmtId="2" fontId="0" fillId="4" borderId="35" xfId="55" applyNumberFormat="1" applyFont="1" applyFill="1" applyBorder="1">
      <alignment/>
      <protection/>
    </xf>
    <xf numFmtId="2" fontId="0" fillId="4" borderId="35" xfId="0" applyNumberFormat="1" applyFont="1" applyFill="1" applyBorder="1" applyAlignment="1">
      <alignment/>
    </xf>
    <xf numFmtId="2" fontId="1" fillId="4" borderId="15" xfId="0" applyNumberFormat="1" applyFont="1" applyFill="1" applyBorder="1" applyAlignment="1">
      <alignment/>
    </xf>
    <xf numFmtId="4" fontId="0" fillId="4" borderId="35" xfId="55" applyNumberFormat="1" applyFont="1" applyFill="1" applyBorder="1">
      <alignment/>
      <protection/>
    </xf>
    <xf numFmtId="2" fontId="1" fillId="4" borderId="15" xfId="0" applyNumberFormat="1" applyFont="1" applyFill="1" applyBorder="1" applyAlignment="1">
      <alignment/>
    </xf>
    <xf numFmtId="2" fontId="1" fillId="4" borderId="35" xfId="0" applyNumberFormat="1" applyFont="1" applyFill="1" applyBorder="1" applyAlignment="1">
      <alignment/>
    </xf>
    <xf numFmtId="4" fontId="10" fillId="4" borderId="35" xfId="0" applyNumberFormat="1" applyFont="1" applyFill="1" applyBorder="1" applyAlignment="1">
      <alignment/>
    </xf>
    <xf numFmtId="2" fontId="0" fillId="4" borderId="15" xfId="0" applyNumberFormat="1" applyFont="1" applyFill="1" applyBorder="1" applyAlignment="1">
      <alignment/>
    </xf>
    <xf numFmtId="4" fontId="2" fillId="4" borderId="35" xfId="0" applyNumberFormat="1" applyFont="1" applyFill="1" applyBorder="1" applyAlignment="1">
      <alignment/>
    </xf>
    <xf numFmtId="4" fontId="1" fillId="4" borderId="42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4" fontId="1" fillId="29" borderId="23" xfId="0" applyNumberFormat="1" applyFont="1" applyFill="1" applyBorder="1" applyAlignment="1">
      <alignment/>
    </xf>
    <xf numFmtId="4" fontId="0" fillId="4" borderId="15" xfId="0" applyNumberFormat="1" applyFont="1" applyFill="1" applyBorder="1" applyAlignment="1">
      <alignment/>
    </xf>
    <xf numFmtId="4" fontId="10" fillId="4" borderId="15" xfId="0" applyNumberFormat="1" applyFont="1" applyFill="1" applyBorder="1" applyAlignment="1">
      <alignment/>
    </xf>
    <xf numFmtId="4" fontId="1" fillId="4" borderId="23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vc" xfId="55"/>
    <cellStyle name="Normal_macheta finante EFORIE NORD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750"/>
  <sheetViews>
    <sheetView tabSelected="1" zoomScalePageLayoutView="0" workbookViewId="0" topLeftCell="A207">
      <selection activeCell="M180" sqref="M180"/>
    </sheetView>
  </sheetViews>
  <sheetFormatPr defaultColWidth="9.140625" defaultRowHeight="12.75"/>
  <cols>
    <col min="1" max="1" width="6.00390625" style="0" customWidth="1"/>
    <col min="2" max="2" width="5.7109375" style="0" customWidth="1"/>
    <col min="3" max="3" width="6.57421875" style="0" customWidth="1"/>
    <col min="4" max="4" width="5.00390625" style="0" customWidth="1"/>
    <col min="5" max="5" width="50.57421875" style="0" customWidth="1"/>
    <col min="6" max="6" width="12.57421875" style="0" customWidth="1"/>
    <col min="7" max="7" width="14.00390625" style="0" customWidth="1"/>
    <col min="8" max="8" width="12.7109375" style="0" customWidth="1"/>
    <col min="9" max="9" width="12.00390625" style="0" customWidth="1"/>
    <col min="10" max="10" width="11.421875" style="0" customWidth="1"/>
    <col min="11" max="11" width="10.28125" style="0" customWidth="1"/>
    <col min="12" max="12" width="12.421875" style="0" customWidth="1"/>
    <col min="13" max="13" width="15.00390625" style="0" customWidth="1"/>
    <col min="14" max="14" width="11.28125" style="0" bestFit="1" customWidth="1"/>
    <col min="15" max="15" width="12.7109375" style="0" customWidth="1"/>
    <col min="16" max="17" width="9.28125" style="0" bestFit="1" customWidth="1"/>
    <col min="18" max="18" width="10.421875" style="0" customWidth="1"/>
    <col min="19" max="19" width="39.7109375" style="0" customWidth="1"/>
    <col min="20" max="20" width="10.57421875" style="0" customWidth="1"/>
    <col min="21" max="21" width="12.7109375" style="0" customWidth="1"/>
    <col min="22" max="22" width="10.421875" style="0" bestFit="1" customWidth="1"/>
    <col min="23" max="23" width="10.8515625" style="0" bestFit="1" customWidth="1"/>
    <col min="24" max="24" width="9.8515625" style="0" bestFit="1" customWidth="1"/>
    <col min="25" max="25" width="13.00390625" style="0" customWidth="1"/>
    <col min="31" max="31" width="55.57421875" style="0" customWidth="1"/>
    <col min="32" max="32" width="16.8515625" style="0" customWidth="1"/>
    <col min="33" max="33" width="10.57421875" style="0" customWidth="1"/>
    <col min="34" max="34" width="1.421875" style="0" customWidth="1"/>
    <col min="37" max="37" width="14.00390625" style="0" bestFit="1" customWidth="1"/>
    <col min="38" max="39" width="12.8515625" style="0" bestFit="1" customWidth="1"/>
    <col min="58" max="58" width="46.28125" style="0" customWidth="1"/>
    <col min="59" max="59" width="21.140625" style="0" customWidth="1"/>
    <col min="60" max="60" width="21.7109375" style="0" customWidth="1"/>
    <col min="61" max="61" width="16.28125" style="0" customWidth="1"/>
  </cols>
  <sheetData>
    <row r="1" spans="1:35" ht="15.75">
      <c r="A1" s="1"/>
      <c r="B1" s="2"/>
      <c r="C1" s="2"/>
      <c r="D1" s="3"/>
      <c r="E1" s="3"/>
      <c r="F1" s="3"/>
      <c r="G1" s="3"/>
      <c r="H1" s="3"/>
      <c r="I1" s="3"/>
      <c r="J1" s="3"/>
      <c r="K1" s="3" t="s">
        <v>0</v>
      </c>
      <c r="O1" s="238" t="s">
        <v>356</v>
      </c>
      <c r="P1" s="239"/>
      <c r="Q1" s="240"/>
      <c r="R1" s="239"/>
      <c r="S1" s="136"/>
      <c r="T1" s="136"/>
      <c r="U1" s="241"/>
      <c r="V1" s="241"/>
      <c r="W1" s="241"/>
      <c r="X1" s="241"/>
      <c r="Y1" s="241" t="s">
        <v>2</v>
      </c>
      <c r="AC1" s="8"/>
      <c r="AD1" s="8"/>
      <c r="AE1" s="8"/>
      <c r="AF1" s="8"/>
      <c r="AG1" s="8"/>
      <c r="AH1" s="8"/>
      <c r="AI1" s="3"/>
    </row>
    <row r="2" spans="1:35" ht="15.75">
      <c r="A2" s="4" t="s">
        <v>356</v>
      </c>
      <c r="B2" s="2"/>
      <c r="C2" s="2"/>
      <c r="D2" s="3"/>
      <c r="E2" s="3"/>
      <c r="F2" s="3"/>
      <c r="G2" s="2" t="s">
        <v>3</v>
      </c>
      <c r="H2" s="3"/>
      <c r="I2" s="3"/>
      <c r="J2" s="3"/>
      <c r="K2" s="3"/>
      <c r="O2" s="242"/>
      <c r="P2" s="239"/>
      <c r="Q2" s="240"/>
      <c r="R2" s="239"/>
      <c r="S2" s="241"/>
      <c r="T2" s="241"/>
      <c r="U2" s="241"/>
      <c r="V2" s="136" t="s">
        <v>4</v>
      </c>
      <c r="W2" s="241"/>
      <c r="X2" s="241"/>
      <c r="Y2" s="241"/>
      <c r="AC2" s="10"/>
      <c r="AD2" s="11" t="s">
        <v>5</v>
      </c>
      <c r="AE2" s="12"/>
      <c r="AF2" s="13" t="s">
        <v>6</v>
      </c>
      <c r="AG2" s="13"/>
      <c r="AH2" s="14"/>
      <c r="AI2" s="3"/>
    </row>
    <row r="3" spans="1:35" ht="15.75">
      <c r="A3" s="9"/>
      <c r="B3" s="2"/>
      <c r="C3" s="2"/>
      <c r="D3" s="3"/>
      <c r="E3" s="2" t="s">
        <v>7</v>
      </c>
      <c r="F3" s="2"/>
      <c r="G3" s="3"/>
      <c r="H3" s="3"/>
      <c r="I3" s="3"/>
      <c r="J3" s="3"/>
      <c r="K3" s="3"/>
      <c r="O3" s="150"/>
      <c r="P3" s="150" t="s">
        <v>8</v>
      </c>
      <c r="Q3" s="241"/>
      <c r="R3" s="243"/>
      <c r="S3" s="136" t="s">
        <v>9</v>
      </c>
      <c r="T3" s="136"/>
      <c r="U3" s="241"/>
      <c r="V3" s="241"/>
      <c r="W3" s="241"/>
      <c r="X3" s="241"/>
      <c r="Y3" s="241"/>
      <c r="AC3" s="16"/>
      <c r="AD3" s="4"/>
      <c r="AE3" s="17"/>
      <c r="AF3" s="18" t="s">
        <v>10</v>
      </c>
      <c r="AG3" s="19"/>
      <c r="AH3" s="20"/>
      <c r="AI3" s="3"/>
    </row>
    <row r="4" spans="1:35" ht="15.75">
      <c r="A4" s="3"/>
      <c r="B4" s="1" t="s">
        <v>8</v>
      </c>
      <c r="C4" s="184"/>
      <c r="D4" s="351"/>
      <c r="E4" s="184"/>
      <c r="F4" s="216"/>
      <c r="G4" s="216"/>
      <c r="H4" s="216"/>
      <c r="I4" s="216"/>
      <c r="J4" s="216"/>
      <c r="K4" s="216"/>
      <c r="O4" s="150" t="s">
        <v>11</v>
      </c>
      <c r="P4" s="150"/>
      <c r="Q4" s="241"/>
      <c r="R4" s="243"/>
      <c r="S4" s="243"/>
      <c r="T4" s="243"/>
      <c r="U4" s="241"/>
      <c r="V4" s="241"/>
      <c r="W4" s="241"/>
      <c r="X4" s="241"/>
      <c r="Y4" s="241"/>
      <c r="AC4" s="22"/>
      <c r="AD4" s="9"/>
      <c r="AE4" s="23"/>
      <c r="AF4" s="24" t="s">
        <v>12</v>
      </c>
      <c r="AG4" s="25"/>
      <c r="AH4" s="11"/>
      <c r="AI4" s="3"/>
    </row>
    <row r="5" spans="1:35" ht="15.75">
      <c r="A5" s="3" t="s">
        <v>11</v>
      </c>
      <c r="B5" s="3"/>
      <c r="C5" s="184"/>
      <c r="D5" s="351"/>
      <c r="E5" s="351"/>
      <c r="F5" s="352"/>
      <c r="G5" s="352"/>
      <c r="H5" s="352"/>
      <c r="I5" s="352"/>
      <c r="J5" s="352"/>
      <c r="K5" s="352"/>
      <c r="O5" s="147"/>
      <c r="P5" s="243"/>
      <c r="Q5" s="241"/>
      <c r="R5" s="243"/>
      <c r="S5" s="241"/>
      <c r="T5" s="241"/>
      <c r="U5" s="241"/>
      <c r="V5" s="241"/>
      <c r="W5" s="241"/>
      <c r="X5" s="241"/>
      <c r="Y5" s="241"/>
      <c r="AC5" s="22"/>
      <c r="AD5" s="25"/>
      <c r="AE5" s="27"/>
      <c r="AF5" s="27"/>
      <c r="AG5" s="27"/>
      <c r="AH5" s="28"/>
      <c r="AI5" s="29"/>
    </row>
    <row r="6" spans="1:35" ht="15.75">
      <c r="A6" s="3"/>
      <c r="B6" s="3"/>
      <c r="C6" s="184"/>
      <c r="D6" s="351"/>
      <c r="E6" s="351"/>
      <c r="F6" s="352"/>
      <c r="G6" s="352"/>
      <c r="H6" s="352"/>
      <c r="I6" s="352"/>
      <c r="J6" s="352"/>
      <c r="K6" s="352"/>
      <c r="O6" s="147"/>
      <c r="P6" s="243"/>
      <c r="Q6" s="241"/>
      <c r="R6" s="243"/>
      <c r="S6" s="241"/>
      <c r="T6" s="241"/>
      <c r="U6" s="241"/>
      <c r="V6" s="241"/>
      <c r="W6" s="241"/>
      <c r="X6" s="241"/>
      <c r="Y6" s="241"/>
      <c r="AC6" s="22"/>
      <c r="AD6" s="25"/>
      <c r="AE6" s="27"/>
      <c r="AF6" s="27"/>
      <c r="AG6" s="27"/>
      <c r="AH6" s="28"/>
      <c r="AI6" s="29"/>
    </row>
    <row r="7" spans="1:35" ht="15.75">
      <c r="A7" s="1"/>
      <c r="B7" s="2"/>
      <c r="C7" s="2"/>
      <c r="D7" s="3"/>
      <c r="E7" s="3"/>
      <c r="F7" s="353"/>
      <c r="G7" s="353"/>
      <c r="H7" s="353"/>
      <c r="I7" s="353"/>
      <c r="J7" s="353"/>
      <c r="K7" s="353"/>
      <c r="L7" s="208"/>
      <c r="O7" s="147"/>
      <c r="P7" s="243"/>
      <c r="Q7" s="241"/>
      <c r="R7" s="243"/>
      <c r="S7" s="241"/>
      <c r="T7" s="241"/>
      <c r="U7" s="241"/>
      <c r="V7" s="241"/>
      <c r="W7" s="241"/>
      <c r="X7" s="241"/>
      <c r="Y7" s="241"/>
      <c r="AC7" s="22"/>
      <c r="AD7" s="3"/>
      <c r="AE7" s="3" t="s">
        <v>8</v>
      </c>
      <c r="AF7" s="3"/>
      <c r="AG7" s="3"/>
      <c r="AH7" s="31"/>
      <c r="AI7" s="3"/>
    </row>
    <row r="8" spans="1:35" ht="15.75">
      <c r="A8" s="29"/>
      <c r="B8" s="2"/>
      <c r="C8" s="2"/>
      <c r="D8" s="32"/>
      <c r="E8" s="29" t="s">
        <v>13</v>
      </c>
      <c r="F8" s="354"/>
      <c r="G8" s="353"/>
      <c r="H8" s="353"/>
      <c r="I8" s="353"/>
      <c r="J8" s="353"/>
      <c r="K8" s="353"/>
      <c r="O8" s="147"/>
      <c r="P8" s="243"/>
      <c r="Q8" s="241"/>
      <c r="R8" s="243"/>
      <c r="S8" s="241"/>
      <c r="T8" s="241"/>
      <c r="U8" s="241"/>
      <c r="V8" s="241"/>
      <c r="W8" s="241"/>
      <c r="X8" s="241"/>
      <c r="Y8" s="241"/>
      <c r="AC8" s="22"/>
      <c r="AD8" s="3" t="s">
        <v>11</v>
      </c>
      <c r="AE8" s="3"/>
      <c r="AF8" s="3"/>
      <c r="AG8" s="3"/>
      <c r="AH8" s="11"/>
      <c r="AI8" s="3"/>
    </row>
    <row r="9" spans="1:35" ht="15.75">
      <c r="A9" s="1"/>
      <c r="B9" s="2"/>
      <c r="C9" s="2"/>
      <c r="D9" s="3"/>
      <c r="E9" s="32" t="s">
        <v>321</v>
      </c>
      <c r="F9" s="355"/>
      <c r="G9" s="355" t="s">
        <v>352</v>
      </c>
      <c r="H9" s="30"/>
      <c r="I9" s="30"/>
      <c r="J9" s="30"/>
      <c r="K9" s="30"/>
      <c r="O9" s="147"/>
      <c r="P9" s="243"/>
      <c r="Q9" s="241"/>
      <c r="R9" s="243"/>
      <c r="S9" s="145" t="s">
        <v>14</v>
      </c>
      <c r="T9" s="145"/>
      <c r="U9" s="241"/>
      <c r="V9" s="241"/>
      <c r="W9" s="241"/>
      <c r="X9" s="241"/>
      <c r="Y9" s="241"/>
      <c r="AC9" s="22"/>
      <c r="AD9" s="34"/>
      <c r="AE9" s="8"/>
      <c r="AF9" s="35"/>
      <c r="AG9" s="25"/>
      <c r="AH9" s="11"/>
      <c r="AI9" s="2"/>
    </row>
    <row r="10" spans="1:35" ht="16.5" thickBot="1">
      <c r="A10" s="356"/>
      <c r="B10" s="2"/>
      <c r="C10" s="2"/>
      <c r="D10" s="3"/>
      <c r="E10" s="30"/>
      <c r="F10" s="30"/>
      <c r="G10" s="3"/>
      <c r="H10" s="3"/>
      <c r="I10" s="3"/>
      <c r="J10" s="3"/>
      <c r="K10" s="3" t="s">
        <v>15</v>
      </c>
      <c r="O10" s="147"/>
      <c r="P10" s="243"/>
      <c r="Q10" s="241"/>
      <c r="R10" s="243"/>
      <c r="S10" s="243" t="s">
        <v>361</v>
      </c>
      <c r="T10" s="243"/>
      <c r="U10" s="241"/>
      <c r="V10" s="241"/>
      <c r="W10" s="241"/>
      <c r="X10" s="241"/>
      <c r="Y10" s="241"/>
      <c r="AC10" s="36"/>
      <c r="AD10" s="34"/>
      <c r="AE10" s="37"/>
      <c r="AF10" s="38"/>
      <c r="AG10" s="38"/>
      <c r="AH10" s="25"/>
      <c r="AI10" s="3"/>
    </row>
    <row r="11" spans="1:38" ht="26.25" thickBot="1">
      <c r="A11" s="357" t="s">
        <v>17</v>
      </c>
      <c r="B11" s="358" t="s">
        <v>18</v>
      </c>
      <c r="C11" s="358" t="s">
        <v>19</v>
      </c>
      <c r="D11" s="358" t="s">
        <v>20</v>
      </c>
      <c r="E11" s="359" t="s">
        <v>21</v>
      </c>
      <c r="F11" s="360" t="s">
        <v>22</v>
      </c>
      <c r="G11" s="360" t="s">
        <v>23</v>
      </c>
      <c r="H11" s="359" t="s">
        <v>24</v>
      </c>
      <c r="I11" s="359" t="s">
        <v>25</v>
      </c>
      <c r="J11" s="359" t="s">
        <v>26</v>
      </c>
      <c r="K11" s="361" t="s">
        <v>27</v>
      </c>
      <c r="M11" s="40"/>
      <c r="O11" s="147"/>
      <c r="P11" s="243"/>
      <c r="Q11" s="241"/>
      <c r="R11" s="243"/>
      <c r="S11" s="241"/>
      <c r="T11" s="241"/>
      <c r="U11" s="241"/>
      <c r="V11" s="241"/>
      <c r="W11" s="241"/>
      <c r="X11" s="241"/>
      <c r="Y11" s="241" t="s">
        <v>15</v>
      </c>
      <c r="AC11" s="36"/>
      <c r="AD11" s="25"/>
      <c r="AE11" s="38"/>
      <c r="AF11" s="38"/>
      <c r="AG11" s="38"/>
      <c r="AH11" s="25"/>
      <c r="AI11" s="3"/>
      <c r="AK11" s="41"/>
      <c r="AL11" s="41"/>
    </row>
    <row r="12" spans="1:38" ht="15.75" customHeight="1" thickBot="1">
      <c r="A12" s="362" t="s">
        <v>28</v>
      </c>
      <c r="B12" s="363" t="s">
        <v>29</v>
      </c>
      <c r="C12" s="363" t="s">
        <v>30</v>
      </c>
      <c r="D12" s="363" t="s">
        <v>31</v>
      </c>
      <c r="E12" s="364" t="s">
        <v>32</v>
      </c>
      <c r="F12" s="364"/>
      <c r="G12" s="365">
        <v>1</v>
      </c>
      <c r="H12" s="364">
        <v>2</v>
      </c>
      <c r="I12" s="364">
        <v>3</v>
      </c>
      <c r="J12" s="364">
        <v>4</v>
      </c>
      <c r="K12" s="366">
        <v>5</v>
      </c>
      <c r="L12" s="312"/>
      <c r="M12" s="15"/>
      <c r="O12" s="244" t="s">
        <v>33</v>
      </c>
      <c r="P12" s="245" t="s">
        <v>18</v>
      </c>
      <c r="Q12" s="246" t="s">
        <v>19</v>
      </c>
      <c r="R12" s="245" t="s">
        <v>20</v>
      </c>
      <c r="S12" s="247" t="s">
        <v>21</v>
      </c>
      <c r="T12" s="248" t="s">
        <v>22</v>
      </c>
      <c r="U12" s="249" t="s">
        <v>23</v>
      </c>
      <c r="V12" s="247" t="s">
        <v>24</v>
      </c>
      <c r="W12" s="250" t="s">
        <v>25</v>
      </c>
      <c r="X12" s="247" t="s">
        <v>26</v>
      </c>
      <c r="Y12" s="251" t="s">
        <v>27</v>
      </c>
      <c r="AC12" s="36"/>
      <c r="AD12" s="8"/>
      <c r="AE12" s="8"/>
      <c r="AF12" s="8"/>
      <c r="AG12" s="8"/>
      <c r="AH12" s="8"/>
      <c r="AI12" s="3"/>
      <c r="AK12" s="41"/>
      <c r="AL12" s="41"/>
    </row>
    <row r="13" spans="1:38" ht="16.5" thickBot="1">
      <c r="A13" s="367">
        <v>1</v>
      </c>
      <c r="B13" s="368"/>
      <c r="C13" s="368"/>
      <c r="D13" s="369"/>
      <c r="E13" s="370" t="s">
        <v>34</v>
      </c>
      <c r="F13" s="371">
        <f>F14+F36+F41</f>
        <v>30250</v>
      </c>
      <c r="G13" s="371">
        <f aca="true" t="shared" si="0" ref="G13:G61">H13+I13+J13+K13</f>
        <v>182991.74</v>
      </c>
      <c r="H13" s="371">
        <f>H14+H36+H41</f>
        <v>43423.6</v>
      </c>
      <c r="I13" s="371">
        <f>I14+I36+I41</f>
        <v>43263.67</v>
      </c>
      <c r="J13" s="371">
        <f>J14+J36+J41</f>
        <v>54428.409999999996</v>
      </c>
      <c r="K13" s="371">
        <f>K14+K36+K41</f>
        <v>41876.06</v>
      </c>
      <c r="L13" s="21"/>
      <c r="M13" s="51"/>
      <c r="O13" s="252" t="s">
        <v>28</v>
      </c>
      <c r="P13" s="253" t="s">
        <v>29</v>
      </c>
      <c r="Q13" s="254" t="s">
        <v>30</v>
      </c>
      <c r="R13" s="253" t="s">
        <v>31</v>
      </c>
      <c r="S13" s="254" t="s">
        <v>32</v>
      </c>
      <c r="T13" s="254"/>
      <c r="U13" s="253">
        <v>1</v>
      </c>
      <c r="V13" s="254">
        <v>2</v>
      </c>
      <c r="W13" s="253">
        <v>3</v>
      </c>
      <c r="X13" s="254">
        <v>4</v>
      </c>
      <c r="Y13" s="255">
        <v>5</v>
      </c>
      <c r="AC13" s="36"/>
      <c r="AD13" s="8"/>
      <c r="AE13" s="34" t="s">
        <v>35</v>
      </c>
      <c r="AF13" s="8"/>
      <c r="AG13" s="8"/>
      <c r="AH13" s="8"/>
      <c r="AI13" s="3"/>
      <c r="AK13" s="41"/>
      <c r="AL13" s="41"/>
    </row>
    <row r="14" spans="1:38" ht="15.75">
      <c r="A14" s="367">
        <f aca="true" t="shared" si="1" ref="A14:A61">A13+1</f>
        <v>2</v>
      </c>
      <c r="B14" s="368"/>
      <c r="C14" s="368"/>
      <c r="D14" s="369"/>
      <c r="E14" s="370" t="s">
        <v>36</v>
      </c>
      <c r="F14" s="371">
        <f>F15</f>
        <v>0</v>
      </c>
      <c r="G14" s="371">
        <f t="shared" si="0"/>
        <v>105234.73999999999</v>
      </c>
      <c r="H14" s="371">
        <f>H15</f>
        <v>24403.129999999997</v>
      </c>
      <c r="I14" s="371">
        <f>I15</f>
        <v>20977.670000000002</v>
      </c>
      <c r="J14" s="371">
        <f>J15</f>
        <v>29957.879999999997</v>
      </c>
      <c r="K14" s="371">
        <f>K15</f>
        <v>29896.059999999998</v>
      </c>
      <c r="L14" s="21"/>
      <c r="M14" s="21"/>
      <c r="O14" s="256">
        <v>1</v>
      </c>
      <c r="P14" s="257"/>
      <c r="Q14" s="258"/>
      <c r="R14" s="257"/>
      <c r="S14" s="259" t="s">
        <v>37</v>
      </c>
      <c r="T14" s="260">
        <f>SUM(T15:T19)</f>
        <v>0</v>
      </c>
      <c r="U14" s="260">
        <f aca="true" t="shared" si="2" ref="U14:U19">V14+W14+X14+Y14</f>
        <v>220</v>
      </c>
      <c r="V14" s="260">
        <f>V15+V16+V17+V18+V19</f>
        <v>60</v>
      </c>
      <c r="W14" s="260">
        <f>W15+W16+W17+W18+W19</f>
        <v>56.48</v>
      </c>
      <c r="X14" s="260">
        <f>X15+X16+X17+X18+X19</f>
        <v>53.52</v>
      </c>
      <c r="Y14" s="261">
        <f>Y15+Y16+Y17+Y18+Y19</f>
        <v>50</v>
      </c>
      <c r="AC14" s="36"/>
      <c r="AD14" s="8"/>
      <c r="AE14" s="37" t="s">
        <v>38</v>
      </c>
      <c r="AF14" s="8"/>
      <c r="AG14" s="8"/>
      <c r="AH14" s="8"/>
      <c r="AI14" s="3"/>
      <c r="AK14" s="41"/>
      <c r="AL14" s="41"/>
    </row>
    <row r="15" spans="1:38" ht="15">
      <c r="A15" s="367">
        <f t="shared" si="1"/>
        <v>3</v>
      </c>
      <c r="B15" s="368"/>
      <c r="C15" s="368"/>
      <c r="D15" s="369"/>
      <c r="E15" s="370" t="s">
        <v>39</v>
      </c>
      <c r="F15" s="371">
        <f>F16+F19</f>
        <v>0</v>
      </c>
      <c r="G15" s="371">
        <f>H15+I15+J15+K15</f>
        <v>105234.73999999999</v>
      </c>
      <c r="H15" s="371">
        <f>H16+H19</f>
        <v>24403.129999999997</v>
      </c>
      <c r="I15" s="371">
        <f>I16+I19</f>
        <v>20977.670000000002</v>
      </c>
      <c r="J15" s="371">
        <f>J16+J19</f>
        <v>29957.879999999997</v>
      </c>
      <c r="K15" s="371">
        <f>K16+K19</f>
        <v>29896.059999999998</v>
      </c>
      <c r="L15" s="21"/>
      <c r="O15" s="262">
        <v>2</v>
      </c>
      <c r="P15" s="263" t="s">
        <v>40</v>
      </c>
      <c r="Q15" s="264" t="s">
        <v>41</v>
      </c>
      <c r="R15" s="265"/>
      <c r="S15" s="266" t="s">
        <v>42</v>
      </c>
      <c r="T15" s="267"/>
      <c r="U15" s="268">
        <f t="shared" si="2"/>
        <v>220</v>
      </c>
      <c r="V15" s="269">
        <v>60</v>
      </c>
      <c r="W15" s="269">
        <v>56.48</v>
      </c>
      <c r="X15" s="269">
        <v>53.52</v>
      </c>
      <c r="Y15" s="269">
        <v>50</v>
      </c>
      <c r="AC15" s="36"/>
      <c r="AD15" s="8"/>
      <c r="AE15" s="7" t="s">
        <v>43</v>
      </c>
      <c r="AF15" s="8"/>
      <c r="AG15" s="8"/>
      <c r="AH15" s="8"/>
      <c r="AI15" s="70"/>
      <c r="AK15" s="41"/>
      <c r="AL15" s="41"/>
    </row>
    <row r="16" spans="1:38" ht="15">
      <c r="A16" s="367">
        <f t="shared" si="1"/>
        <v>4</v>
      </c>
      <c r="B16" s="372" t="s">
        <v>44</v>
      </c>
      <c r="C16" s="368"/>
      <c r="D16" s="369"/>
      <c r="E16" s="370" t="s">
        <v>45</v>
      </c>
      <c r="F16" s="371">
        <f>F17+F18</f>
        <v>0</v>
      </c>
      <c r="G16" s="371">
        <f t="shared" si="0"/>
        <v>255.92000000000002</v>
      </c>
      <c r="H16" s="371">
        <f>H17+H18</f>
        <v>60</v>
      </c>
      <c r="I16" s="371">
        <f>I17+I18</f>
        <v>56.48</v>
      </c>
      <c r="J16" s="371">
        <f>J17+J18</f>
        <v>56.52</v>
      </c>
      <c r="K16" s="371">
        <f>K17+K18</f>
        <v>82.92</v>
      </c>
      <c r="L16" s="21"/>
      <c r="O16" s="270">
        <v>3</v>
      </c>
      <c r="P16" s="271" t="s">
        <v>46</v>
      </c>
      <c r="Q16" s="272" t="s">
        <v>47</v>
      </c>
      <c r="R16" s="273"/>
      <c r="S16" s="274" t="s">
        <v>48</v>
      </c>
      <c r="T16" s="267"/>
      <c r="U16" s="268">
        <f t="shared" si="2"/>
        <v>0</v>
      </c>
      <c r="V16" s="275">
        <v>0</v>
      </c>
      <c r="W16" s="275"/>
      <c r="X16" s="275">
        <v>0</v>
      </c>
      <c r="Y16" s="276"/>
      <c r="AC16" s="36"/>
      <c r="AD16" s="8"/>
      <c r="AE16" s="8"/>
      <c r="AF16" s="8"/>
      <c r="AG16" s="8"/>
      <c r="AH16" s="8"/>
      <c r="AI16" s="70"/>
      <c r="AK16" s="41"/>
      <c r="AL16" s="41"/>
    </row>
    <row r="17" spans="1:38" ht="15">
      <c r="A17" s="367">
        <f t="shared" si="1"/>
        <v>5</v>
      </c>
      <c r="B17" s="368"/>
      <c r="C17" s="373" t="s">
        <v>41</v>
      </c>
      <c r="D17" s="374"/>
      <c r="E17" s="66" t="s">
        <v>49</v>
      </c>
      <c r="F17" s="375"/>
      <c r="G17" s="79">
        <f t="shared" si="0"/>
        <v>255.92000000000002</v>
      </c>
      <c r="H17" s="375">
        <f>'BVC  MS'!H16+'BVC DSP'!H17</f>
        <v>60</v>
      </c>
      <c r="I17" s="375">
        <f>'BVC  MS'!I16+'BVC DSP'!I17</f>
        <v>56.48</v>
      </c>
      <c r="J17" s="375">
        <f>'BVC  MS'!J16+'BVC DSP'!J17</f>
        <v>56.52</v>
      </c>
      <c r="K17" s="375">
        <f>'BVC  MS'!K16+'BVC DSP'!K17</f>
        <v>82.92</v>
      </c>
      <c r="L17" s="21">
        <v>255.92</v>
      </c>
      <c r="M17" s="21"/>
      <c r="O17" s="262">
        <v>4</v>
      </c>
      <c r="P17" s="263" t="s">
        <v>50</v>
      </c>
      <c r="Q17" s="277">
        <v>50</v>
      </c>
      <c r="R17" s="265"/>
      <c r="S17" s="274" t="s">
        <v>51</v>
      </c>
      <c r="T17" s="267"/>
      <c r="U17" s="268"/>
      <c r="V17" s="275"/>
      <c r="W17" s="275"/>
      <c r="X17" s="275"/>
      <c r="Y17" s="276"/>
      <c r="AC17" s="36"/>
      <c r="AD17" s="8"/>
      <c r="AE17" s="8"/>
      <c r="AF17" s="8"/>
      <c r="AG17" s="8"/>
      <c r="AH17" s="8"/>
      <c r="AI17" s="70"/>
      <c r="AK17" s="41"/>
      <c r="AL17" s="41"/>
    </row>
    <row r="18" spans="1:39" ht="15.75">
      <c r="A18" s="367">
        <f>A17+1</f>
        <v>6</v>
      </c>
      <c r="B18" s="368"/>
      <c r="C18" s="374">
        <v>50</v>
      </c>
      <c r="D18" s="374"/>
      <c r="E18" s="66" t="s">
        <v>52</v>
      </c>
      <c r="F18" s="375"/>
      <c r="G18" s="79">
        <f t="shared" si="0"/>
        <v>0</v>
      </c>
      <c r="H18" s="375">
        <f>'BVC  MS'!H17+'BVC DSP'!H18</f>
        <v>0</v>
      </c>
      <c r="I18" s="375">
        <f>'BVC  MS'!I17+'BVC DSP'!I18</f>
        <v>0</v>
      </c>
      <c r="J18" s="375">
        <f>'BVC  MS'!J17+'BVC DSP'!J18</f>
        <v>0</v>
      </c>
      <c r="K18" s="375">
        <f>'BVC  MS'!K17+'BVC DSP'!K18</f>
        <v>0</v>
      </c>
      <c r="L18" s="21">
        <v>0</v>
      </c>
      <c r="M18" s="21"/>
      <c r="O18" s="270">
        <v>5</v>
      </c>
      <c r="P18" s="265"/>
      <c r="Q18" s="277"/>
      <c r="R18" s="265"/>
      <c r="S18" s="278" t="s">
        <v>53</v>
      </c>
      <c r="T18" s="279"/>
      <c r="U18" s="268">
        <f t="shared" si="2"/>
        <v>0</v>
      </c>
      <c r="V18" s="275"/>
      <c r="W18" s="275"/>
      <c r="X18" s="275"/>
      <c r="Y18" s="276"/>
      <c r="AC18" s="36"/>
      <c r="AD18" s="11"/>
      <c r="AE18" s="35" t="s">
        <v>54</v>
      </c>
      <c r="AF18" s="38"/>
      <c r="AG18" s="38"/>
      <c r="AH18" s="25"/>
      <c r="AI18" s="70"/>
      <c r="AK18" s="83"/>
      <c r="AL18" s="41"/>
      <c r="AM18" s="83"/>
    </row>
    <row r="19" spans="1:38" ht="15.75" thickBot="1">
      <c r="A19" s="367">
        <f t="shared" si="1"/>
        <v>7</v>
      </c>
      <c r="B19" s="368"/>
      <c r="C19" s="368"/>
      <c r="D19" s="369"/>
      <c r="E19" s="370" t="s">
        <v>55</v>
      </c>
      <c r="F19" s="371">
        <f>F20+F32</f>
        <v>0</v>
      </c>
      <c r="G19" s="371">
        <f t="shared" si="0"/>
        <v>104978.81999999999</v>
      </c>
      <c r="H19" s="371">
        <f>H20+H32</f>
        <v>24343.129999999997</v>
      </c>
      <c r="I19" s="371">
        <f>I20+I32</f>
        <v>20921.190000000002</v>
      </c>
      <c r="J19" s="371">
        <f>J20+J32</f>
        <v>29901.359999999997</v>
      </c>
      <c r="K19" s="371">
        <f>K20+K32</f>
        <v>29813.14</v>
      </c>
      <c r="L19" s="21">
        <v>104969.25</v>
      </c>
      <c r="M19" s="21"/>
      <c r="O19" s="262">
        <v>6</v>
      </c>
      <c r="P19" s="273"/>
      <c r="Q19" s="280"/>
      <c r="R19" s="273"/>
      <c r="S19" s="274" t="s">
        <v>56</v>
      </c>
      <c r="T19" s="267"/>
      <c r="U19" s="268">
        <f t="shared" si="2"/>
        <v>0</v>
      </c>
      <c r="V19" s="275"/>
      <c r="W19" s="275"/>
      <c r="X19" s="275"/>
      <c r="Y19" s="276"/>
      <c r="AC19" s="36"/>
      <c r="AD19" s="25"/>
      <c r="AE19" s="38"/>
      <c r="AF19" s="38"/>
      <c r="AG19" s="38"/>
      <c r="AH19" s="25"/>
      <c r="AI19" s="70"/>
      <c r="AL19" s="41"/>
    </row>
    <row r="20" spans="1:38" ht="15.75">
      <c r="A20" s="367">
        <f t="shared" si="1"/>
        <v>8</v>
      </c>
      <c r="B20" s="372" t="s">
        <v>57</v>
      </c>
      <c r="C20" s="368"/>
      <c r="D20" s="369"/>
      <c r="E20" s="370" t="s">
        <v>58</v>
      </c>
      <c r="F20" s="371">
        <f>F21+F22+F23+F24+F31</f>
        <v>0</v>
      </c>
      <c r="G20" s="371">
        <f t="shared" si="0"/>
        <v>104978.81999999999</v>
      </c>
      <c r="H20" s="371">
        <f>H21+H22+H23+H25+H26+H27+H24+H31</f>
        <v>24343.129999999997</v>
      </c>
      <c r="I20" s="371">
        <f>I21+I22+I23+I25+I26+I27+I24+I31</f>
        <v>20921.190000000002</v>
      </c>
      <c r="J20" s="371">
        <f>J21+J22+J23+J25+J26+J27+J24+J31</f>
        <v>29901.359999999997</v>
      </c>
      <c r="K20" s="371">
        <f>K21+K22+K23+K25+K26+K27+K24+K31</f>
        <v>29813.14</v>
      </c>
      <c r="L20" s="21">
        <v>104969.25</v>
      </c>
      <c r="M20" s="21"/>
      <c r="O20" s="270">
        <v>7</v>
      </c>
      <c r="P20" s="281" t="s">
        <v>59</v>
      </c>
      <c r="Q20" s="282" t="s">
        <v>60</v>
      </c>
      <c r="R20" s="281" t="s">
        <v>61</v>
      </c>
      <c r="S20" s="283" t="s">
        <v>21</v>
      </c>
      <c r="T20" s="283"/>
      <c r="U20" s="259"/>
      <c r="V20" s="283"/>
      <c r="W20" s="259"/>
      <c r="X20" s="283"/>
      <c r="Y20" s="284"/>
      <c r="AC20" s="36"/>
      <c r="AD20" s="90" t="s">
        <v>62</v>
      </c>
      <c r="AE20" s="91" t="s">
        <v>63</v>
      </c>
      <c r="AF20" s="91" t="s">
        <v>64</v>
      </c>
      <c r="AG20" s="38"/>
      <c r="AH20" s="25"/>
      <c r="AI20" s="70"/>
      <c r="AL20" s="83"/>
    </row>
    <row r="21" spans="1:37" ht="15.75">
      <c r="A21" s="367">
        <f t="shared" si="1"/>
        <v>9</v>
      </c>
      <c r="B21" s="368"/>
      <c r="C21" s="373" t="s">
        <v>65</v>
      </c>
      <c r="D21" s="369"/>
      <c r="E21" s="66" t="s">
        <v>66</v>
      </c>
      <c r="F21" s="375"/>
      <c r="G21" s="79">
        <f t="shared" si="0"/>
        <v>3741.7000000000003</v>
      </c>
      <c r="H21" s="375">
        <f>'BVC  MS'!H20+'BVC DSP'!H21</f>
        <v>951.2</v>
      </c>
      <c r="I21" s="375">
        <f>'BVC  MS'!I20+'BVC DSP'!I21</f>
        <v>1548.8</v>
      </c>
      <c r="J21" s="375">
        <f>'BVC  MS'!J20+'BVC DSP'!J21</f>
        <v>594.3</v>
      </c>
      <c r="K21" s="375">
        <f>'BVC  MS'!K20+'BVC DSP'!K21</f>
        <v>647.4</v>
      </c>
      <c r="L21" s="21">
        <v>3751.47</v>
      </c>
      <c r="M21" s="21"/>
      <c r="O21" s="262">
        <v>8</v>
      </c>
      <c r="P21" s="281"/>
      <c r="Q21" s="282"/>
      <c r="R21" s="281"/>
      <c r="S21" s="285" t="s">
        <v>67</v>
      </c>
      <c r="T21" s="286">
        <f aca="true" t="shared" si="3" ref="T21:Y23">T22</f>
        <v>0</v>
      </c>
      <c r="U21" s="260">
        <f aca="true" t="shared" si="4" ref="U21:U28">V21+W21+X21+Y21</f>
        <v>328.96999999999997</v>
      </c>
      <c r="V21" s="286">
        <f t="shared" si="3"/>
        <v>60</v>
      </c>
      <c r="W21" s="286">
        <f t="shared" si="3"/>
        <v>165.45</v>
      </c>
      <c r="X21" s="286">
        <f t="shared" si="3"/>
        <v>53.52</v>
      </c>
      <c r="Y21" s="287">
        <f t="shared" si="3"/>
        <v>50</v>
      </c>
      <c r="AC21" s="36"/>
      <c r="AD21" s="95" t="s">
        <v>68</v>
      </c>
      <c r="AE21" s="96"/>
      <c r="AF21" s="96" t="s">
        <v>69</v>
      </c>
      <c r="AG21" s="38"/>
      <c r="AH21" s="25"/>
      <c r="AI21" s="70"/>
      <c r="AK21" s="41"/>
    </row>
    <row r="22" spans="1:37" ht="26.25">
      <c r="A22" s="367">
        <f t="shared" si="1"/>
        <v>10</v>
      </c>
      <c r="B22" s="368"/>
      <c r="C22" s="374">
        <v>16</v>
      </c>
      <c r="D22" s="369"/>
      <c r="E22" s="97" t="s">
        <v>70</v>
      </c>
      <c r="F22" s="375"/>
      <c r="G22" s="79">
        <f t="shared" si="0"/>
        <v>13.97</v>
      </c>
      <c r="H22" s="375">
        <f>'BVC  MS'!H21+'BVC DSP'!H22</f>
        <v>4</v>
      </c>
      <c r="I22" s="375">
        <f>'BVC  MS'!I21+'BVC DSP'!I22</f>
        <v>5</v>
      </c>
      <c r="J22" s="375">
        <f>'BVC  MS'!J21+'BVC DSP'!J22</f>
        <v>4</v>
      </c>
      <c r="K22" s="375">
        <f>'BVC  MS'!K21+'BVC DSP'!K22</f>
        <v>0.97</v>
      </c>
      <c r="L22" s="21">
        <v>13.97</v>
      </c>
      <c r="M22" s="21"/>
      <c r="O22" s="262">
        <v>9</v>
      </c>
      <c r="P22" s="288">
        <v>70</v>
      </c>
      <c r="Q22" s="289"/>
      <c r="R22" s="288"/>
      <c r="S22" s="259" t="s">
        <v>71</v>
      </c>
      <c r="T22" s="260">
        <f t="shared" si="3"/>
        <v>0</v>
      </c>
      <c r="U22" s="260">
        <f t="shared" si="4"/>
        <v>328.96999999999997</v>
      </c>
      <c r="V22" s="260">
        <f t="shared" si="3"/>
        <v>60</v>
      </c>
      <c r="W22" s="260">
        <f t="shared" si="3"/>
        <v>165.45</v>
      </c>
      <c r="X22" s="260">
        <f t="shared" si="3"/>
        <v>53.52</v>
      </c>
      <c r="Y22" s="261">
        <f t="shared" si="3"/>
        <v>50</v>
      </c>
      <c r="AC22" s="36"/>
      <c r="AD22" s="100">
        <v>1</v>
      </c>
      <c r="AE22" s="101" t="s">
        <v>72</v>
      </c>
      <c r="AF22" s="200">
        <f>SUM(AF23+AF27)</f>
        <v>2870</v>
      </c>
      <c r="AG22" s="38"/>
      <c r="AH22" s="25"/>
      <c r="AI22" s="70"/>
      <c r="AK22" s="41"/>
    </row>
    <row r="23" spans="1:37" ht="15.75">
      <c r="A23" s="367">
        <f t="shared" si="1"/>
        <v>11</v>
      </c>
      <c r="B23" s="368"/>
      <c r="C23" s="374">
        <v>20</v>
      </c>
      <c r="D23" s="369"/>
      <c r="E23" s="66" t="s">
        <v>73</v>
      </c>
      <c r="F23" s="375"/>
      <c r="G23" s="79">
        <f t="shared" si="0"/>
        <v>1572.7</v>
      </c>
      <c r="H23" s="375">
        <f>'BVC  MS'!H22+'BVC DSP'!H23</f>
        <v>765.9</v>
      </c>
      <c r="I23" s="375">
        <f>'BVC  MS'!I22+'BVC DSP'!I23</f>
        <v>634.1</v>
      </c>
      <c r="J23" s="375">
        <f>'BVC  MS'!J22+'BVC DSP'!J23</f>
        <v>172.7</v>
      </c>
      <c r="K23" s="375">
        <f>'BVC  MS'!K22+'BVC DSP'!K23</f>
        <v>0</v>
      </c>
      <c r="L23" s="21">
        <v>1572.7</v>
      </c>
      <c r="M23" s="21"/>
      <c r="O23" s="262">
        <f aca="true" t="shared" si="5" ref="O23:O28">O22+1</f>
        <v>10</v>
      </c>
      <c r="P23" s="281">
        <v>71</v>
      </c>
      <c r="Q23" s="282"/>
      <c r="R23" s="281"/>
      <c r="S23" s="259" t="s">
        <v>74</v>
      </c>
      <c r="T23" s="260">
        <f t="shared" si="3"/>
        <v>0</v>
      </c>
      <c r="U23" s="260">
        <f t="shared" si="4"/>
        <v>328.96999999999997</v>
      </c>
      <c r="V23" s="260">
        <f t="shared" si="3"/>
        <v>60</v>
      </c>
      <c r="W23" s="260">
        <f t="shared" si="3"/>
        <v>165.45</v>
      </c>
      <c r="X23" s="260">
        <f t="shared" si="3"/>
        <v>53.52</v>
      </c>
      <c r="Y23" s="261">
        <f t="shared" si="3"/>
        <v>50</v>
      </c>
      <c r="AC23" s="36"/>
      <c r="AD23" s="100">
        <v>2</v>
      </c>
      <c r="AE23" s="102" t="s">
        <v>75</v>
      </c>
      <c r="AF23" s="200">
        <f>SUM(AF24:AF26)</f>
        <v>2198</v>
      </c>
      <c r="AG23" s="38"/>
      <c r="AH23" s="25"/>
      <c r="AI23" s="70"/>
      <c r="AK23" s="41"/>
    </row>
    <row r="24" spans="1:37" ht="15.75">
      <c r="A24" s="367">
        <f t="shared" si="1"/>
        <v>12</v>
      </c>
      <c r="B24" s="368"/>
      <c r="C24" s="374">
        <v>21</v>
      </c>
      <c r="D24" s="369"/>
      <c r="E24" s="66" t="s">
        <v>76</v>
      </c>
      <c r="F24" s="375"/>
      <c r="G24" s="79">
        <f t="shared" si="0"/>
        <v>99622.61</v>
      </c>
      <c r="H24" s="375">
        <f>'BVC  MS'!H23+'BVC DSP'!H24</f>
        <v>22618.66</v>
      </c>
      <c r="I24" s="375">
        <f>'BVC  MS'!I23+'BVC DSP'!I24</f>
        <v>18724.66</v>
      </c>
      <c r="J24" s="375">
        <f>'BVC  MS'!J23+'BVC DSP'!J24</f>
        <v>29121.989999999998</v>
      </c>
      <c r="K24" s="375">
        <f>'BVC  MS'!K23+'BVC DSP'!K24</f>
        <v>29157.3</v>
      </c>
      <c r="L24" s="21">
        <v>99603.27</v>
      </c>
      <c r="M24" s="21">
        <v>99622.61</v>
      </c>
      <c r="O24" s="262">
        <f t="shared" si="5"/>
        <v>11</v>
      </c>
      <c r="P24" s="281">
        <v>71</v>
      </c>
      <c r="Q24" s="264" t="s">
        <v>47</v>
      </c>
      <c r="R24" s="265"/>
      <c r="S24" s="259" t="s">
        <v>77</v>
      </c>
      <c r="T24" s="260">
        <f>SUM(T25:T27)</f>
        <v>0</v>
      </c>
      <c r="U24" s="260">
        <f t="shared" si="4"/>
        <v>328.96999999999997</v>
      </c>
      <c r="V24" s="260">
        <f>SUM(V25:V27)</f>
        <v>60</v>
      </c>
      <c r="W24" s="260">
        <f>SUM(W25:W27)</f>
        <v>165.45</v>
      </c>
      <c r="X24" s="260">
        <f>SUM(X25:X27)</f>
        <v>53.52</v>
      </c>
      <c r="Y24" s="261">
        <f>SUM(Y25:Y27)</f>
        <v>50</v>
      </c>
      <c r="AC24" s="36"/>
      <c r="AD24" s="100">
        <v>2.1</v>
      </c>
      <c r="AE24" s="101" t="s">
        <v>78</v>
      </c>
      <c r="AF24" s="201">
        <v>1105.5</v>
      </c>
      <c r="AG24" s="38"/>
      <c r="AH24" s="25"/>
      <c r="AI24" s="70"/>
      <c r="AK24" s="41"/>
    </row>
    <row r="25" spans="1:37" ht="25.5">
      <c r="A25" s="367">
        <f t="shared" si="1"/>
        <v>13</v>
      </c>
      <c r="B25" s="368"/>
      <c r="C25" s="374">
        <v>30</v>
      </c>
      <c r="D25" s="369"/>
      <c r="E25" s="97" t="s">
        <v>79</v>
      </c>
      <c r="F25" s="376"/>
      <c r="G25" s="79">
        <f t="shared" si="0"/>
        <v>0</v>
      </c>
      <c r="H25" s="375">
        <f>'BVC  MS'!H24+'BVC DSP'!H25</f>
        <v>0</v>
      </c>
      <c r="I25" s="375">
        <f>'BVC  MS'!I24+'BVC DSP'!I25</f>
        <v>0</v>
      </c>
      <c r="J25" s="375">
        <f>'BVC  MS'!J24+'BVC DSP'!J25</f>
        <v>0</v>
      </c>
      <c r="K25" s="375">
        <f>'BVC  MS'!K24+'BVC DSP'!K25</f>
        <v>0</v>
      </c>
      <c r="L25" s="21">
        <v>0</v>
      </c>
      <c r="M25" s="21">
        <f>M24-L24</f>
        <v>19.339999999996508</v>
      </c>
      <c r="O25" s="262">
        <f t="shared" si="5"/>
        <v>12</v>
      </c>
      <c r="P25" s="273"/>
      <c r="Q25" s="280"/>
      <c r="R25" s="271" t="s">
        <v>80</v>
      </c>
      <c r="S25" s="266" t="s">
        <v>81</v>
      </c>
      <c r="T25" s="267"/>
      <c r="U25" s="268">
        <f t="shared" si="4"/>
        <v>328.96999999999997</v>
      </c>
      <c r="V25" s="269">
        <v>60</v>
      </c>
      <c r="W25" s="269">
        <v>165.45</v>
      </c>
      <c r="X25" s="269">
        <v>53.52</v>
      </c>
      <c r="Y25" s="290">
        <v>50</v>
      </c>
      <c r="AC25" s="36"/>
      <c r="AD25" s="104">
        <v>2.2</v>
      </c>
      <c r="AE25" s="105" t="s">
        <v>82</v>
      </c>
      <c r="AF25" s="203">
        <v>69.5</v>
      </c>
      <c r="AG25" s="38"/>
      <c r="AH25" s="25"/>
      <c r="AI25" s="70"/>
      <c r="AK25" s="41"/>
    </row>
    <row r="26" spans="1:37" ht="25.5">
      <c r="A26" s="367">
        <f t="shared" si="1"/>
        <v>14</v>
      </c>
      <c r="B26" s="368"/>
      <c r="C26" s="374">
        <v>31</v>
      </c>
      <c r="D26" s="369"/>
      <c r="E26" s="97" t="s">
        <v>83</v>
      </c>
      <c r="F26" s="375"/>
      <c r="G26" s="79">
        <f t="shared" si="0"/>
        <v>0</v>
      </c>
      <c r="H26" s="375">
        <f>'BVC  MS'!H25+'BVC DSP'!H26</f>
        <v>0</v>
      </c>
      <c r="I26" s="375">
        <f>'BVC  MS'!I25+'BVC DSP'!I26</f>
        <v>0</v>
      </c>
      <c r="J26" s="375">
        <f>'BVC  MS'!J25+'BVC DSP'!J26</f>
        <v>0</v>
      </c>
      <c r="K26" s="375">
        <f>'BVC  MS'!K25+'BVC DSP'!K26</f>
        <v>0</v>
      </c>
      <c r="L26" s="21">
        <v>0</v>
      </c>
      <c r="M26" s="21">
        <f>K24+M25</f>
        <v>29176.639999999996</v>
      </c>
      <c r="O26" s="262">
        <f t="shared" si="5"/>
        <v>13</v>
      </c>
      <c r="P26" s="265"/>
      <c r="Q26" s="277"/>
      <c r="R26" s="263" t="s">
        <v>84</v>
      </c>
      <c r="S26" s="266" t="s">
        <v>85</v>
      </c>
      <c r="T26" s="267"/>
      <c r="U26" s="268">
        <f t="shared" si="4"/>
        <v>0</v>
      </c>
      <c r="V26" s="269"/>
      <c r="W26" s="269"/>
      <c r="X26" s="269"/>
      <c r="Y26" s="269"/>
      <c r="AC26" s="36"/>
      <c r="AD26" s="106">
        <v>2.3</v>
      </c>
      <c r="AE26" s="107" t="s">
        <v>86</v>
      </c>
      <c r="AF26" s="108">
        <v>1023</v>
      </c>
      <c r="AG26" s="38"/>
      <c r="AH26" s="25"/>
      <c r="AI26" s="70"/>
      <c r="AK26" s="41"/>
    </row>
    <row r="27" spans="1:37" ht="25.5">
      <c r="A27" s="367">
        <f t="shared" si="1"/>
        <v>15</v>
      </c>
      <c r="B27" s="368"/>
      <c r="C27" s="374">
        <v>32</v>
      </c>
      <c r="D27" s="369"/>
      <c r="E27" s="97" t="s">
        <v>87</v>
      </c>
      <c r="F27" s="375"/>
      <c r="G27" s="79">
        <f t="shared" si="0"/>
        <v>0</v>
      </c>
      <c r="H27" s="109">
        <f>H28+H29+H30</f>
        <v>0</v>
      </c>
      <c r="I27" s="109">
        <f>I28+I29+I30</f>
        <v>0</v>
      </c>
      <c r="J27" s="109">
        <f>J28+J29+J30</f>
        <v>0</v>
      </c>
      <c r="K27" s="109">
        <f>K28+K29+K30</f>
        <v>0</v>
      </c>
      <c r="L27" s="21">
        <v>0</v>
      </c>
      <c r="M27" s="21"/>
      <c r="O27" s="262">
        <f t="shared" si="5"/>
        <v>14</v>
      </c>
      <c r="P27" s="265"/>
      <c r="Q27" s="277"/>
      <c r="R27" s="265">
        <v>30</v>
      </c>
      <c r="S27" s="266" t="s">
        <v>88</v>
      </c>
      <c r="T27" s="267"/>
      <c r="U27" s="268">
        <f t="shared" si="4"/>
        <v>0</v>
      </c>
      <c r="V27" s="269"/>
      <c r="W27" s="269"/>
      <c r="X27" s="269"/>
      <c r="Y27" s="269"/>
      <c r="AC27" s="36"/>
      <c r="AD27" s="106">
        <v>3</v>
      </c>
      <c r="AE27" s="110" t="s">
        <v>89</v>
      </c>
      <c r="AF27" s="202">
        <v>672</v>
      </c>
      <c r="AG27" s="38"/>
      <c r="AH27" s="25"/>
      <c r="AI27" s="70"/>
      <c r="AK27" s="41"/>
    </row>
    <row r="28" spans="1:37" ht="15">
      <c r="A28" s="367">
        <f t="shared" si="1"/>
        <v>16</v>
      </c>
      <c r="B28" s="368"/>
      <c r="C28" s="374"/>
      <c r="D28" s="369"/>
      <c r="E28" s="66" t="s">
        <v>90</v>
      </c>
      <c r="F28" s="375"/>
      <c r="G28" s="79">
        <f t="shared" si="0"/>
        <v>0</v>
      </c>
      <c r="H28" s="375">
        <f>'BVC  MS'!H27+'BVC DSP'!H28</f>
        <v>0</v>
      </c>
      <c r="I28" s="375">
        <f>'BVC  MS'!I27+'BVC DSP'!I28</f>
        <v>0</v>
      </c>
      <c r="J28" s="375">
        <f>'BVC  MS'!J27+'BVC DSP'!J28</f>
        <v>0</v>
      </c>
      <c r="K28" s="375">
        <f>'BVC  MS'!K27+'BVC DSP'!K28</f>
        <v>0</v>
      </c>
      <c r="L28" s="21">
        <v>0</v>
      </c>
      <c r="M28" s="21"/>
      <c r="O28" s="262">
        <f t="shared" si="5"/>
        <v>15</v>
      </c>
      <c r="P28" s="265"/>
      <c r="Q28" s="291"/>
      <c r="R28" s="265"/>
      <c r="S28" s="292" t="s">
        <v>91</v>
      </c>
      <c r="T28" s="293"/>
      <c r="U28" s="268">
        <f t="shared" si="4"/>
        <v>108.97</v>
      </c>
      <c r="V28" s="268"/>
      <c r="W28" s="294">
        <v>108.97</v>
      </c>
      <c r="X28" s="295">
        <v>0</v>
      </c>
      <c r="Y28" s="291">
        <v>0</v>
      </c>
      <c r="AC28" s="36"/>
      <c r="AD28" s="106">
        <v>4</v>
      </c>
      <c r="AE28" s="116" t="s">
        <v>92</v>
      </c>
      <c r="AF28" s="202">
        <v>2253</v>
      </c>
      <c r="AG28" s="38"/>
      <c r="AH28" s="25"/>
      <c r="AI28" s="70"/>
      <c r="AK28" s="41"/>
    </row>
    <row r="29" spans="1:37" ht="15.75">
      <c r="A29" s="367">
        <f t="shared" si="1"/>
        <v>17</v>
      </c>
      <c r="B29" s="368"/>
      <c r="C29" s="374"/>
      <c r="D29" s="369"/>
      <c r="E29" s="66" t="s">
        <v>93</v>
      </c>
      <c r="F29" s="375"/>
      <c r="G29" s="79">
        <f t="shared" si="0"/>
        <v>0</v>
      </c>
      <c r="H29" s="375">
        <f>'BVC  MS'!H28+'BVC DSP'!H29</f>
        <v>0</v>
      </c>
      <c r="I29" s="375">
        <f>'BVC  MS'!I28+'BVC DSP'!I29</f>
        <v>0</v>
      </c>
      <c r="J29" s="375">
        <f>'BVC  MS'!J28+'BVC DSP'!J29</f>
        <v>0</v>
      </c>
      <c r="K29" s="375">
        <f>'BVC  MS'!K28+'BVC DSP'!K29</f>
        <v>0</v>
      </c>
      <c r="L29" s="21">
        <v>0</v>
      </c>
      <c r="M29" s="21"/>
      <c r="O29" s="296"/>
      <c r="P29" s="289"/>
      <c r="Q29" s="272"/>
      <c r="R29" s="280"/>
      <c r="S29" s="297"/>
      <c r="T29" s="297"/>
      <c r="U29" s="298"/>
      <c r="V29" s="298"/>
      <c r="W29" s="298"/>
      <c r="X29" s="298"/>
      <c r="Y29" s="298"/>
      <c r="AC29" s="36"/>
      <c r="AD29" s="120"/>
      <c r="AE29" s="121"/>
      <c r="AF29" s="122"/>
      <c r="AG29" s="38"/>
      <c r="AH29" s="25"/>
      <c r="AI29" s="70"/>
      <c r="AK29" s="41"/>
    </row>
    <row r="30" spans="1:37" ht="15.75">
      <c r="A30" s="367">
        <f t="shared" si="1"/>
        <v>18</v>
      </c>
      <c r="B30" s="368"/>
      <c r="C30" s="374"/>
      <c r="D30" s="369"/>
      <c r="E30" s="66" t="s">
        <v>94</v>
      </c>
      <c r="F30" s="375"/>
      <c r="G30" s="79">
        <f t="shared" si="0"/>
        <v>0</v>
      </c>
      <c r="H30" s="375">
        <f>'BVC  MS'!H29+'BVC DSP'!H30</f>
        <v>0</v>
      </c>
      <c r="I30" s="375">
        <f>'BVC  MS'!I29+'BVC DSP'!I30</f>
        <v>0</v>
      </c>
      <c r="J30" s="375">
        <f>'BVC  MS'!J29+'BVC DSP'!J30</f>
        <v>0</v>
      </c>
      <c r="K30" s="375">
        <f>'BVC  MS'!K29+'BVC DSP'!K30</f>
        <v>0</v>
      </c>
      <c r="L30" s="21">
        <v>0</v>
      </c>
      <c r="M30" s="21"/>
      <c r="O30" s="296"/>
      <c r="P30" s="289"/>
      <c r="Q30" s="272"/>
      <c r="R30" s="280"/>
      <c r="S30" s="297"/>
      <c r="T30" s="297"/>
      <c r="U30" s="298"/>
      <c r="V30" s="298"/>
      <c r="W30" s="298"/>
      <c r="X30" s="298"/>
      <c r="Y30" s="298"/>
      <c r="AC30" s="36"/>
      <c r="AD30" s="120"/>
      <c r="AE30" s="121"/>
      <c r="AF30" s="122"/>
      <c r="AG30" s="38"/>
      <c r="AH30" s="25"/>
      <c r="AI30" s="70"/>
      <c r="AK30" s="41"/>
    </row>
    <row r="31" spans="1:37" ht="15">
      <c r="A31" s="367">
        <f t="shared" si="1"/>
        <v>19</v>
      </c>
      <c r="B31" s="368"/>
      <c r="C31" s="374">
        <v>50</v>
      </c>
      <c r="D31" s="369"/>
      <c r="E31" s="66" t="s">
        <v>95</v>
      </c>
      <c r="F31" s="375"/>
      <c r="G31" s="79">
        <f t="shared" si="0"/>
        <v>27.84</v>
      </c>
      <c r="H31" s="375">
        <f>'BVC  MS'!H30+'BVC DSP'!H31</f>
        <v>3.37</v>
      </c>
      <c r="I31" s="375">
        <f>'BVC  MS'!I30+'BVC DSP'!I31</f>
        <v>8.63</v>
      </c>
      <c r="J31" s="375">
        <f>'BVC  MS'!J30+'BVC DSP'!J31</f>
        <v>8.370000000000001</v>
      </c>
      <c r="K31" s="375">
        <f>'BVC  MS'!K30+'BVC DSP'!K31</f>
        <v>7.47</v>
      </c>
      <c r="L31" s="21">
        <v>27.84</v>
      </c>
      <c r="M31" s="21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AC31" s="36"/>
      <c r="AD31" s="120"/>
      <c r="AE31" s="121"/>
      <c r="AF31" s="122"/>
      <c r="AG31" s="38"/>
      <c r="AH31" s="25"/>
      <c r="AI31" s="70"/>
      <c r="AK31" s="41"/>
    </row>
    <row r="32" spans="1:39" ht="15">
      <c r="A32" s="367">
        <f t="shared" si="1"/>
        <v>20</v>
      </c>
      <c r="B32" s="377" t="s">
        <v>46</v>
      </c>
      <c r="C32" s="368"/>
      <c r="D32" s="369"/>
      <c r="E32" s="370" t="s">
        <v>96</v>
      </c>
      <c r="F32" s="371">
        <f>+F33+F34+F35</f>
        <v>0</v>
      </c>
      <c r="G32" s="371">
        <f t="shared" si="0"/>
        <v>0</v>
      </c>
      <c r="H32" s="371">
        <f>+H33+H34+H35</f>
        <v>0</v>
      </c>
      <c r="I32" s="371">
        <f>+I33+I34+I35</f>
        <v>0</v>
      </c>
      <c r="J32" s="371">
        <f>+J33+J34+J35</f>
        <v>0</v>
      </c>
      <c r="K32" s="378">
        <f>+K33+K34+K35</f>
        <v>0</v>
      </c>
      <c r="L32" s="21">
        <v>0</v>
      </c>
      <c r="M32" s="2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AC32" s="36"/>
      <c r="AD32" s="120"/>
      <c r="AE32" s="125"/>
      <c r="AF32" s="126"/>
      <c r="AG32" s="38"/>
      <c r="AH32" s="25"/>
      <c r="AI32" s="70"/>
      <c r="AK32" s="41"/>
      <c r="AM32" s="83"/>
    </row>
    <row r="33" spans="1:37" ht="15.75">
      <c r="A33" s="367">
        <f t="shared" si="1"/>
        <v>21</v>
      </c>
      <c r="B33" s="368"/>
      <c r="C33" s="373" t="s">
        <v>47</v>
      </c>
      <c r="D33" s="369"/>
      <c r="E33" s="66" t="s">
        <v>97</v>
      </c>
      <c r="F33" s="375"/>
      <c r="G33" s="79">
        <f t="shared" si="0"/>
        <v>0</v>
      </c>
      <c r="H33" s="375">
        <f>'BVC  MS'!H32+'BVC DSP'!H33</f>
        <v>0</v>
      </c>
      <c r="I33" s="375">
        <f>'BVC  MS'!I32+'BVC DSP'!I33</f>
        <v>0</v>
      </c>
      <c r="J33" s="375">
        <f>'BVC  MS'!J32+'BVC DSP'!J33</f>
        <v>0</v>
      </c>
      <c r="K33" s="375">
        <f>'BVC  MS'!K32+'BVC DSP'!K33</f>
        <v>0</v>
      </c>
      <c r="L33" s="21">
        <v>0</v>
      </c>
      <c r="M33" s="21"/>
      <c r="O33" s="34" t="s">
        <v>98</v>
      </c>
      <c r="P33" s="300"/>
      <c r="Q33" s="241"/>
      <c r="R33" s="300"/>
      <c r="S33" s="300"/>
      <c r="T33" s="300"/>
      <c r="U33" s="241"/>
      <c r="V33" s="37" t="s">
        <v>99</v>
      </c>
      <c r="W33" s="241"/>
      <c r="X33" s="241"/>
      <c r="Y33" s="241"/>
      <c r="AC33" s="70"/>
      <c r="AD33" s="120"/>
      <c r="AE33" s="121"/>
      <c r="AF33" s="127"/>
      <c r="AG33" s="70"/>
      <c r="AH33" s="70"/>
      <c r="AI33" s="70"/>
      <c r="AK33" s="41"/>
    </row>
    <row r="34" spans="1:37" ht="12.75">
      <c r="A34" s="367">
        <f t="shared" si="1"/>
        <v>22</v>
      </c>
      <c r="B34" s="368"/>
      <c r="C34" s="374">
        <v>50</v>
      </c>
      <c r="D34" s="369"/>
      <c r="E34" s="66" t="s">
        <v>100</v>
      </c>
      <c r="F34" s="375"/>
      <c r="G34" s="79">
        <f t="shared" si="0"/>
        <v>0</v>
      </c>
      <c r="H34" s="375">
        <f>'BVC  MS'!H33+'BVC DSP'!H34</f>
        <v>0</v>
      </c>
      <c r="I34" s="375">
        <f>'BVC  MS'!I33+'BVC DSP'!I34</f>
        <v>0</v>
      </c>
      <c r="J34" s="375">
        <f>'BVC  MS'!J33+'BVC DSP'!J34</f>
        <v>0</v>
      </c>
      <c r="K34" s="375">
        <f>'BVC  MS'!K33+'BVC DSP'!K34</f>
        <v>0</v>
      </c>
      <c r="L34" s="21">
        <v>0</v>
      </c>
      <c r="M34" s="21"/>
      <c r="AC34" s="70"/>
      <c r="AD34" s="120"/>
      <c r="AE34" s="121"/>
      <c r="AF34" s="127"/>
      <c r="AG34" s="70"/>
      <c r="AH34" s="70"/>
      <c r="AI34" s="70"/>
      <c r="AK34" s="83"/>
    </row>
    <row r="35" spans="1:35" ht="15">
      <c r="A35" s="367">
        <f t="shared" si="1"/>
        <v>23</v>
      </c>
      <c r="B35" s="368"/>
      <c r="C35" s="368"/>
      <c r="D35" s="379" t="s">
        <v>41</v>
      </c>
      <c r="E35" s="66" t="s">
        <v>100</v>
      </c>
      <c r="F35" s="375"/>
      <c r="G35" s="79">
        <f t="shared" si="0"/>
        <v>0</v>
      </c>
      <c r="H35" s="375">
        <f>'BVC  MS'!H34+'BVC DSP'!H35</f>
        <v>0</v>
      </c>
      <c r="I35" s="375">
        <f>'BVC  MS'!I34+'BVC DSP'!I35</f>
        <v>0</v>
      </c>
      <c r="J35" s="375">
        <f>'BVC  MS'!J34+'BVC DSP'!J35</f>
        <v>0</v>
      </c>
      <c r="K35" s="375">
        <f>'BVC  MS'!K34+'BVC DSP'!K35</f>
        <v>0</v>
      </c>
      <c r="L35" s="21">
        <v>0</v>
      </c>
      <c r="M35" s="21"/>
      <c r="O35" s="26"/>
      <c r="P35" s="15"/>
      <c r="R35" s="15"/>
      <c r="AC35" s="70"/>
      <c r="AD35" s="11" t="s">
        <v>101</v>
      </c>
      <c r="AE35" s="70"/>
      <c r="AF35" s="35" t="s">
        <v>99</v>
      </c>
      <c r="AG35" s="70"/>
      <c r="AH35" s="70"/>
      <c r="AI35" s="70"/>
    </row>
    <row r="36" spans="1:38" ht="12.75">
      <c r="A36" s="367">
        <f t="shared" si="1"/>
        <v>24</v>
      </c>
      <c r="B36" s="368"/>
      <c r="C36" s="368"/>
      <c r="D36" s="369"/>
      <c r="E36" s="370" t="s">
        <v>102</v>
      </c>
      <c r="F36" s="371">
        <f>+F37</f>
        <v>0</v>
      </c>
      <c r="G36" s="371">
        <f t="shared" si="0"/>
        <v>0</v>
      </c>
      <c r="H36" s="371">
        <f>+H37</f>
        <v>0</v>
      </c>
      <c r="I36" s="371">
        <f>+I37</f>
        <v>0</v>
      </c>
      <c r="J36" s="371">
        <f>+J37</f>
        <v>0</v>
      </c>
      <c r="K36" s="378">
        <f>+K37</f>
        <v>0</v>
      </c>
      <c r="L36" s="21">
        <v>0</v>
      </c>
      <c r="M36" s="21"/>
      <c r="O36" s="26"/>
      <c r="P36" s="15"/>
      <c r="R36" s="15"/>
      <c r="U36" s="128"/>
      <c r="X36" s="128"/>
      <c r="AC36" s="70"/>
      <c r="AD36" s="70"/>
      <c r="AE36" s="70"/>
      <c r="AF36" s="129" t="s">
        <v>103</v>
      </c>
      <c r="AG36" s="70"/>
      <c r="AH36" s="70"/>
      <c r="AI36" s="70"/>
      <c r="AK36" s="41"/>
      <c r="AL36" s="83"/>
    </row>
    <row r="37" spans="1:37" ht="12.75">
      <c r="A37" s="367">
        <f t="shared" si="1"/>
        <v>25</v>
      </c>
      <c r="B37" s="368">
        <v>39.1</v>
      </c>
      <c r="C37" s="368"/>
      <c r="D37" s="369"/>
      <c r="E37" s="370" t="s">
        <v>104</v>
      </c>
      <c r="F37" s="371">
        <f>+F38+F39+F40</f>
        <v>0</v>
      </c>
      <c r="G37" s="371">
        <f t="shared" si="0"/>
        <v>0</v>
      </c>
      <c r="H37" s="371">
        <f>+H38+H39+H40</f>
        <v>0</v>
      </c>
      <c r="I37" s="371">
        <f>+I38+I39+I40</f>
        <v>0</v>
      </c>
      <c r="J37" s="371">
        <f>+J38+J39+J40</f>
        <v>0</v>
      </c>
      <c r="K37" s="378">
        <f>+K38+K39+K40</f>
        <v>0</v>
      </c>
      <c r="L37" s="21">
        <v>0</v>
      </c>
      <c r="M37" s="21"/>
      <c r="O37" s="15"/>
      <c r="Q37" s="15"/>
      <c r="AC37" s="70"/>
      <c r="AD37" s="70"/>
      <c r="AE37" s="70"/>
      <c r="AF37" s="70"/>
      <c r="AG37" s="70"/>
      <c r="AH37" s="70"/>
      <c r="AI37" s="70"/>
      <c r="AK37" s="41"/>
    </row>
    <row r="38" spans="1:38" ht="12.75">
      <c r="A38" s="367">
        <f t="shared" si="1"/>
        <v>26</v>
      </c>
      <c r="B38" s="368"/>
      <c r="C38" s="373" t="s">
        <v>47</v>
      </c>
      <c r="D38" s="369"/>
      <c r="E38" s="66" t="s">
        <v>107</v>
      </c>
      <c r="F38" s="375"/>
      <c r="G38" s="79">
        <f t="shared" si="0"/>
        <v>0</v>
      </c>
      <c r="H38" s="375">
        <f>'BVC  MS'!H37+'BVC DSP'!H38</f>
        <v>0</v>
      </c>
      <c r="I38" s="375">
        <f>'BVC  MS'!I37+'BVC DSP'!I38</f>
        <v>0</v>
      </c>
      <c r="J38" s="375">
        <f>'BVC  MS'!J37+'BVC DSP'!J38</f>
        <v>0</v>
      </c>
      <c r="K38" s="375">
        <f>'BVC  MS'!K37+'BVC DSP'!K38</f>
        <v>0</v>
      </c>
      <c r="L38" s="21">
        <v>0</v>
      </c>
      <c r="M38" s="21"/>
      <c r="O38" s="26"/>
      <c r="P38" s="15"/>
      <c r="R38" s="15"/>
      <c r="AC38" s="70"/>
      <c r="AD38" s="70"/>
      <c r="AE38" s="70"/>
      <c r="AF38" s="70"/>
      <c r="AG38" s="70"/>
      <c r="AH38" s="70"/>
      <c r="AI38" s="70"/>
      <c r="AK38" s="41"/>
      <c r="AL38" s="83"/>
    </row>
    <row r="39" spans="1:38" ht="12.75">
      <c r="A39" s="367">
        <f t="shared" si="1"/>
        <v>27</v>
      </c>
      <c r="B39" s="368"/>
      <c r="C39" s="373" t="s">
        <v>108</v>
      </c>
      <c r="D39" s="369"/>
      <c r="E39" s="66" t="s">
        <v>109</v>
      </c>
      <c r="F39" s="375"/>
      <c r="G39" s="79">
        <f t="shared" si="0"/>
        <v>0</v>
      </c>
      <c r="H39" s="375">
        <f>'BVC  MS'!H38+'BVC DSP'!H39</f>
        <v>0</v>
      </c>
      <c r="I39" s="375">
        <f>'BVC  MS'!I38+'BVC DSP'!I39</f>
        <v>0</v>
      </c>
      <c r="J39" s="375">
        <f>'BVC  MS'!J38+'BVC DSP'!J39</f>
        <v>0</v>
      </c>
      <c r="K39" s="375">
        <f>'BVC  MS'!K38+'BVC DSP'!K39</f>
        <v>0</v>
      </c>
      <c r="L39" s="21">
        <v>0</v>
      </c>
      <c r="M39" s="21"/>
      <c r="O39" s="26"/>
      <c r="P39" s="15"/>
      <c r="AC39" s="70"/>
      <c r="AD39" s="70"/>
      <c r="AE39" s="70"/>
      <c r="AF39" s="70"/>
      <c r="AG39" s="70"/>
      <c r="AH39" s="70"/>
      <c r="AI39" s="70"/>
      <c r="AK39" s="41"/>
      <c r="AL39" s="83"/>
    </row>
    <row r="40" spans="1:38" ht="12.75">
      <c r="A40" s="367">
        <f t="shared" si="1"/>
        <v>28</v>
      </c>
      <c r="B40" s="368"/>
      <c r="C40" s="374">
        <v>50</v>
      </c>
      <c r="D40" s="369"/>
      <c r="E40" s="66" t="s">
        <v>110</v>
      </c>
      <c r="F40" s="375"/>
      <c r="G40" s="79">
        <f t="shared" si="0"/>
        <v>0</v>
      </c>
      <c r="H40" s="375">
        <f>'BVC  MS'!H39+'BVC DSP'!H40</f>
        <v>0</v>
      </c>
      <c r="I40" s="375">
        <f>'BVC  MS'!I39+'BVC DSP'!I40</f>
        <v>0</v>
      </c>
      <c r="J40" s="375">
        <f>'BVC  MS'!J39+'BVC DSP'!J40</f>
        <v>0</v>
      </c>
      <c r="K40" s="375">
        <f>'BVC  MS'!K39+'BVC DSP'!K40</f>
        <v>0</v>
      </c>
      <c r="L40" s="21">
        <v>0</v>
      </c>
      <c r="M40" s="21"/>
      <c r="O40" s="26"/>
      <c r="P40" s="15"/>
      <c r="AC40" s="70"/>
      <c r="AI40" s="70"/>
      <c r="AK40" s="41"/>
      <c r="AL40" s="83"/>
    </row>
    <row r="41" spans="1:38" ht="15">
      <c r="A41" s="367">
        <f t="shared" si="1"/>
        <v>29</v>
      </c>
      <c r="B41" s="368"/>
      <c r="C41" s="368"/>
      <c r="D41" s="369"/>
      <c r="E41" s="370" t="s">
        <v>111</v>
      </c>
      <c r="F41" s="371">
        <f>+F42+F50+F61</f>
        <v>30250</v>
      </c>
      <c r="G41" s="371">
        <f t="shared" si="0"/>
        <v>77757</v>
      </c>
      <c r="H41" s="371">
        <f>+H42+H50+H61</f>
        <v>19020.47</v>
      </c>
      <c r="I41" s="371">
        <f>+I42+I50+I61</f>
        <v>22286</v>
      </c>
      <c r="J41" s="371">
        <f>+J42+J50+J61</f>
        <v>24470.53</v>
      </c>
      <c r="K41" s="371">
        <f>+K42+K50+K61</f>
        <v>11980</v>
      </c>
      <c r="L41" s="21">
        <v>77759</v>
      </c>
      <c r="M41" s="21"/>
      <c r="O41" s="26"/>
      <c r="P41" s="15"/>
      <c r="R41" s="11"/>
      <c r="S41" s="70"/>
      <c r="T41" s="70"/>
      <c r="U41" s="35"/>
      <c r="V41" s="70"/>
      <c r="AC41" s="70"/>
      <c r="AI41" s="70"/>
      <c r="AK41" s="41"/>
      <c r="AL41" s="83"/>
    </row>
    <row r="42" spans="1:38" ht="12.75">
      <c r="A42" s="367">
        <f t="shared" si="1"/>
        <v>30</v>
      </c>
      <c r="B42" s="377" t="s">
        <v>112</v>
      </c>
      <c r="C42" s="368"/>
      <c r="D42" s="369"/>
      <c r="E42" s="370" t="s">
        <v>113</v>
      </c>
      <c r="F42" s="371">
        <f>F43</f>
        <v>0</v>
      </c>
      <c r="G42" s="371">
        <f t="shared" si="0"/>
        <v>31206</v>
      </c>
      <c r="H42" s="371">
        <f>H43</f>
        <v>7538</v>
      </c>
      <c r="I42" s="371">
        <f>I43</f>
        <v>6844</v>
      </c>
      <c r="J42" s="371">
        <f>J43</f>
        <v>8477</v>
      </c>
      <c r="K42" s="371">
        <f>K43</f>
        <v>8347</v>
      </c>
      <c r="L42" s="21">
        <v>31208</v>
      </c>
      <c r="M42" s="21"/>
      <c r="O42" s="26"/>
      <c r="P42" s="15"/>
      <c r="R42" s="130"/>
      <c r="S42" s="70"/>
      <c r="T42" s="70"/>
      <c r="U42" s="131"/>
      <c r="AC42" s="70"/>
      <c r="AD42" s="70"/>
      <c r="AE42" s="70"/>
      <c r="AF42" s="70"/>
      <c r="AG42" s="70"/>
      <c r="AH42" s="70"/>
      <c r="AI42" s="70"/>
      <c r="AK42" s="41"/>
      <c r="AL42" s="83"/>
    </row>
    <row r="43" spans="1:39" ht="12.75">
      <c r="A43" s="367">
        <f t="shared" si="1"/>
        <v>31</v>
      </c>
      <c r="B43" s="368"/>
      <c r="C43" s="374">
        <v>11</v>
      </c>
      <c r="D43" s="369"/>
      <c r="E43" s="66" t="s">
        <v>114</v>
      </c>
      <c r="F43" s="371">
        <f>F44+F45+F46+F47+F48+F49</f>
        <v>0</v>
      </c>
      <c r="G43" s="371">
        <f t="shared" si="0"/>
        <v>31206</v>
      </c>
      <c r="H43" s="371">
        <f>H44+H45+H46+H47+H48+H49</f>
        <v>7538</v>
      </c>
      <c r="I43" s="371">
        <f>I44+I45+I46+I47+I48+I49</f>
        <v>6844</v>
      </c>
      <c r="J43" s="371">
        <f>J44+J45+J46+J47+J48+J49</f>
        <v>8477</v>
      </c>
      <c r="K43" s="371">
        <f>K44+K45+K46+K47+K48+K49</f>
        <v>8347</v>
      </c>
      <c r="L43" s="21">
        <v>31208</v>
      </c>
      <c r="M43" s="21"/>
      <c r="S43" s="132"/>
      <c r="T43" s="132"/>
      <c r="U43" s="133"/>
      <c r="V43" s="133"/>
      <c r="W43" s="133"/>
      <c r="X43" s="133"/>
      <c r="Y43" s="133"/>
      <c r="AK43" s="134"/>
      <c r="AL43" s="83"/>
      <c r="AM43" s="83"/>
    </row>
    <row r="44" spans="1:38" ht="12.75">
      <c r="A44" s="367">
        <f t="shared" si="1"/>
        <v>32</v>
      </c>
      <c r="B44" s="368"/>
      <c r="C44" s="368"/>
      <c r="D44" s="369"/>
      <c r="E44" s="66" t="s">
        <v>115</v>
      </c>
      <c r="F44" s="375"/>
      <c r="G44" s="79">
        <f t="shared" si="0"/>
        <v>800</v>
      </c>
      <c r="H44" s="375">
        <f>'BVC  MS'!H43+'BVC DSP'!H44</f>
        <v>0</v>
      </c>
      <c r="I44" s="375">
        <f>'BVC  MS'!I43+'BVC DSP'!I44</f>
        <v>299</v>
      </c>
      <c r="J44" s="375">
        <f>'BVC  MS'!J43+'BVC DSP'!J44</f>
        <v>316</v>
      </c>
      <c r="K44" s="375">
        <f>'BVC  MS'!K43+'BVC DSP'!K44</f>
        <v>185</v>
      </c>
      <c r="L44" s="21">
        <v>802</v>
      </c>
      <c r="M44" s="21"/>
      <c r="S44" s="135"/>
      <c r="T44" s="135"/>
      <c r="U44" s="133"/>
      <c r="V44" s="133"/>
      <c r="W44" s="133"/>
      <c r="X44" s="133"/>
      <c r="Y44" s="133"/>
      <c r="AL44" s="83"/>
    </row>
    <row r="45" spans="1:38" ht="12.75">
      <c r="A45" s="367">
        <f t="shared" si="1"/>
        <v>33</v>
      </c>
      <c r="B45" s="368"/>
      <c r="C45" s="368"/>
      <c r="D45" s="369"/>
      <c r="E45" s="66" t="s">
        <v>116</v>
      </c>
      <c r="F45" s="375"/>
      <c r="G45" s="79">
        <f t="shared" si="0"/>
        <v>0</v>
      </c>
      <c r="H45" s="375">
        <f>'BVC  MS'!H44+'BVC DSP'!H45</f>
        <v>0</v>
      </c>
      <c r="I45" s="375">
        <f>'BVC  MS'!I44+'BVC DSP'!I45</f>
        <v>0</v>
      </c>
      <c r="J45" s="375">
        <f>'BVC  MS'!J44+'BVC DSP'!J45</f>
        <v>0</v>
      </c>
      <c r="K45" s="375">
        <f>'BVC  MS'!K44+'BVC DSP'!K45</f>
        <v>0</v>
      </c>
      <c r="L45" s="21">
        <v>0</v>
      </c>
      <c r="M45" s="21"/>
      <c r="S45" s="135"/>
      <c r="T45" s="135"/>
      <c r="U45" s="133"/>
      <c r="V45" s="133"/>
      <c r="W45" s="133"/>
      <c r="X45" s="133"/>
      <c r="Y45" s="133"/>
      <c r="AK45" s="41"/>
      <c r="AL45" s="83"/>
    </row>
    <row r="46" spans="1:38" ht="12.75">
      <c r="A46" s="367">
        <f t="shared" si="1"/>
        <v>34</v>
      </c>
      <c r="B46" s="368"/>
      <c r="C46" s="368"/>
      <c r="D46" s="369"/>
      <c r="E46" s="66" t="s">
        <v>117</v>
      </c>
      <c r="F46" s="375"/>
      <c r="G46" s="79">
        <f t="shared" si="0"/>
        <v>1092</v>
      </c>
      <c r="H46" s="375">
        <f>'BVC  MS'!H45+'BVC DSP'!H46</f>
        <v>0</v>
      </c>
      <c r="I46" s="375">
        <f>'BVC  MS'!I45+'BVC DSP'!I46</f>
        <v>0</v>
      </c>
      <c r="J46" s="375">
        <f>'BVC  MS'!J45+'BVC DSP'!J46</f>
        <v>1092</v>
      </c>
      <c r="K46" s="375">
        <f>'BVC  MS'!K45+'BVC DSP'!K46</f>
        <v>0</v>
      </c>
      <c r="L46" s="21">
        <v>1092</v>
      </c>
      <c r="M46" s="21"/>
      <c r="S46" s="135"/>
      <c r="T46" s="135"/>
      <c r="U46" s="133"/>
      <c r="V46" s="133"/>
      <c r="W46" s="133"/>
      <c r="X46" s="133"/>
      <c r="Y46" s="133"/>
      <c r="AK46" s="41"/>
      <c r="AL46" s="83"/>
    </row>
    <row r="47" spans="1:37" ht="12.75">
      <c r="A47" s="367">
        <f t="shared" si="1"/>
        <v>35</v>
      </c>
      <c r="B47" s="368"/>
      <c r="C47" s="368"/>
      <c r="D47" s="369"/>
      <c r="E47" s="66" t="s">
        <v>118</v>
      </c>
      <c r="F47" s="375"/>
      <c r="G47" s="79">
        <f t="shared" si="0"/>
        <v>26115</v>
      </c>
      <c r="H47" s="375">
        <f>'BVC  MS'!H46+'BVC DSP'!H47</f>
        <v>6238</v>
      </c>
      <c r="I47" s="375">
        <f>'BVC  MS'!I46+'BVC DSP'!I47</f>
        <v>6545</v>
      </c>
      <c r="J47" s="375">
        <f>'BVC  MS'!J46+'BVC DSP'!J47</f>
        <v>6769</v>
      </c>
      <c r="K47" s="375">
        <f>'BVC  MS'!K46+'BVC DSP'!K47</f>
        <v>6563</v>
      </c>
      <c r="L47" s="21">
        <v>26115</v>
      </c>
      <c r="M47" s="21"/>
      <c r="S47" s="21"/>
      <c r="T47" s="21"/>
      <c r="AK47" s="41"/>
    </row>
    <row r="48" spans="1:37" ht="12.75">
      <c r="A48" s="367">
        <f t="shared" si="1"/>
        <v>36</v>
      </c>
      <c r="B48" s="368"/>
      <c r="C48" s="368"/>
      <c r="D48" s="369"/>
      <c r="E48" s="66" t="s">
        <v>119</v>
      </c>
      <c r="F48" s="375"/>
      <c r="G48" s="79">
        <f t="shared" si="0"/>
        <v>3199</v>
      </c>
      <c r="H48" s="375">
        <f>'BVC  MS'!H47+'BVC DSP'!H48</f>
        <v>1300</v>
      </c>
      <c r="I48" s="375">
        <f>'BVC  MS'!I47+'BVC DSP'!I48</f>
        <v>0</v>
      </c>
      <c r="J48" s="375">
        <f>'BVC  MS'!J47+'BVC DSP'!J48</f>
        <v>300</v>
      </c>
      <c r="K48" s="375">
        <f>'BVC  MS'!K47+'BVC DSP'!K48</f>
        <v>1599</v>
      </c>
      <c r="L48" s="21">
        <v>3199</v>
      </c>
      <c r="M48" s="21"/>
      <c r="AK48" s="41"/>
    </row>
    <row r="49" spans="1:37" ht="15.75">
      <c r="A49" s="367">
        <f t="shared" si="1"/>
        <v>37</v>
      </c>
      <c r="B49" s="368"/>
      <c r="C49" s="368"/>
      <c r="D49" s="369"/>
      <c r="E49" s="66" t="s">
        <v>120</v>
      </c>
      <c r="F49" s="375"/>
      <c r="G49" s="79">
        <f t="shared" si="0"/>
        <v>0</v>
      </c>
      <c r="H49" s="375">
        <f>'BVC  MS'!H48+'BVC DSP'!H49</f>
        <v>0</v>
      </c>
      <c r="I49" s="375">
        <f>'BVC  MS'!I48+'BVC DSP'!I49</f>
        <v>0</v>
      </c>
      <c r="J49" s="375">
        <f>'BVC  MS'!J48+'BVC DSP'!J49</f>
        <v>0</v>
      </c>
      <c r="K49" s="375">
        <f>'BVC  MS'!K48+'BVC DSP'!K49</f>
        <v>0</v>
      </c>
      <c r="L49" s="21">
        <v>0</v>
      </c>
      <c r="M49" s="21"/>
      <c r="P49" s="9"/>
      <c r="R49" s="136"/>
      <c r="AK49" s="41"/>
    </row>
    <row r="50" spans="1:37" ht="15.75">
      <c r="A50" s="367">
        <f t="shared" si="1"/>
        <v>38</v>
      </c>
      <c r="B50" s="380" t="s">
        <v>121</v>
      </c>
      <c r="C50" s="381"/>
      <c r="D50" s="382"/>
      <c r="E50" s="383" t="s">
        <v>122</v>
      </c>
      <c r="F50" s="384">
        <f>F51+F57</f>
        <v>0</v>
      </c>
      <c r="G50" s="371">
        <f t="shared" si="0"/>
        <v>32801</v>
      </c>
      <c r="H50" s="384">
        <f>H51+H57</f>
        <v>8799</v>
      </c>
      <c r="I50" s="384">
        <f>I51+I57</f>
        <v>15442</v>
      </c>
      <c r="J50" s="384">
        <f>J51+J57</f>
        <v>5477</v>
      </c>
      <c r="K50" s="384">
        <f>K51+K57</f>
        <v>3083</v>
      </c>
      <c r="L50" s="21">
        <v>32801</v>
      </c>
      <c r="M50" s="21"/>
      <c r="R50" s="136"/>
      <c r="AK50" s="41"/>
    </row>
    <row r="51" spans="1:37" ht="51">
      <c r="A51" s="367">
        <f t="shared" si="1"/>
        <v>39</v>
      </c>
      <c r="B51" s="381"/>
      <c r="C51" s="385">
        <v>9</v>
      </c>
      <c r="D51" s="386"/>
      <c r="E51" s="387" t="s">
        <v>123</v>
      </c>
      <c r="F51" s="384">
        <f>+F52+F54+F56</f>
        <v>0</v>
      </c>
      <c r="G51" s="371">
        <f t="shared" si="0"/>
        <v>25785</v>
      </c>
      <c r="H51" s="384">
        <f>+H52+H54+H56+H55+H53</f>
        <v>8212</v>
      </c>
      <c r="I51" s="384">
        <f>+I52+I54+I56+I55+I53</f>
        <v>11839</v>
      </c>
      <c r="J51" s="384">
        <f>+J52+J54+J56+J55+J53</f>
        <v>3572</v>
      </c>
      <c r="K51" s="384">
        <f>+K52+K54+K56+K55+K53</f>
        <v>2162</v>
      </c>
      <c r="L51" s="21">
        <v>25785</v>
      </c>
      <c r="M51" s="21"/>
      <c r="P51" s="4" t="s">
        <v>1</v>
      </c>
      <c r="R51" s="7"/>
      <c r="S51" s="139"/>
      <c r="T51" s="140" t="s">
        <v>124</v>
      </c>
      <c r="AK51" s="134"/>
    </row>
    <row r="52" spans="1:17" ht="12.75">
      <c r="A52" s="367">
        <f t="shared" si="1"/>
        <v>40</v>
      </c>
      <c r="B52" s="381"/>
      <c r="C52" s="388"/>
      <c r="D52" s="389"/>
      <c r="E52" s="75" t="s">
        <v>125</v>
      </c>
      <c r="F52" s="375"/>
      <c r="G52" s="79">
        <f t="shared" si="0"/>
        <v>952</v>
      </c>
      <c r="H52" s="375">
        <f>'BVC  MS'!H51+'BVC DSP'!H52</f>
        <v>952</v>
      </c>
      <c r="I52" s="375">
        <f>'BVC  MS'!I51+'BVC DSP'!I52</f>
        <v>0</v>
      </c>
      <c r="J52" s="375">
        <f>'BVC  MS'!J51+'BVC DSP'!J52</f>
        <v>0</v>
      </c>
      <c r="K52" s="375">
        <f>'BVC  MS'!K51+'BVC DSP'!K52</f>
        <v>0</v>
      </c>
      <c r="L52" s="21">
        <v>952</v>
      </c>
      <c r="M52" s="21"/>
      <c r="N52" s="142"/>
      <c r="O52" s="142"/>
      <c r="P52" s="142"/>
      <c r="Q52" s="142"/>
    </row>
    <row r="53" spans="1:17" ht="12.75">
      <c r="A53" s="367"/>
      <c r="B53" s="381"/>
      <c r="C53" s="388"/>
      <c r="D53" s="389"/>
      <c r="E53" s="66" t="s">
        <v>118</v>
      </c>
      <c r="F53" s="375"/>
      <c r="G53" s="79">
        <f t="shared" si="0"/>
        <v>1414</v>
      </c>
      <c r="H53" s="375">
        <f>'BVC  MS'!H52+'BVC DSP'!H53</f>
        <v>508</v>
      </c>
      <c r="I53" s="375">
        <f>'BVC  MS'!I52+'BVC DSP'!I53</f>
        <v>0</v>
      </c>
      <c r="J53" s="375">
        <f>'BVC  MS'!J52+'BVC DSP'!J53</f>
        <v>662</v>
      </c>
      <c r="K53" s="375">
        <f>'BVC  MS'!K52+'BVC DSP'!K53</f>
        <v>244</v>
      </c>
      <c r="L53" s="21">
        <v>1414</v>
      </c>
      <c r="M53" s="21"/>
      <c r="N53" s="142"/>
      <c r="O53" s="142"/>
      <c r="P53" s="142"/>
      <c r="Q53" s="142"/>
    </row>
    <row r="54" spans="1:39" ht="12.75">
      <c r="A54" s="367">
        <f>A52+1</f>
        <v>41</v>
      </c>
      <c r="B54" s="390"/>
      <c r="C54" s="391"/>
      <c r="D54" s="392"/>
      <c r="E54" s="143" t="s">
        <v>126</v>
      </c>
      <c r="F54" s="375"/>
      <c r="G54" s="109">
        <f t="shared" si="0"/>
        <v>20923</v>
      </c>
      <c r="H54" s="375">
        <f>'BVC  MS'!H53+'BVC DSP'!H54</f>
        <v>5754</v>
      </c>
      <c r="I54" s="375">
        <f>'BVC  MS'!I53+'BVC DSP'!I54</f>
        <v>11263</v>
      </c>
      <c r="J54" s="375">
        <f>'BVC  MS'!J53+'BVC DSP'!J54</f>
        <v>2610</v>
      </c>
      <c r="K54" s="375">
        <f>'BVC  MS'!K53+'BVC DSP'!K54</f>
        <v>1296</v>
      </c>
      <c r="L54" s="21">
        <v>20923</v>
      </c>
      <c r="M54" s="21"/>
      <c r="N54" s="141"/>
      <c r="O54" s="141"/>
      <c r="P54" s="141"/>
      <c r="Q54" s="141"/>
      <c r="R54" s="21">
        <f>L53+L56</f>
        <v>3524</v>
      </c>
      <c r="AM54" s="83"/>
    </row>
    <row r="55" spans="1:39" ht="12.75">
      <c r="A55" s="367"/>
      <c r="B55" s="390"/>
      <c r="C55" s="391"/>
      <c r="D55" s="392"/>
      <c r="E55" s="143" t="s">
        <v>116</v>
      </c>
      <c r="F55" s="375"/>
      <c r="G55" s="109">
        <f t="shared" si="0"/>
        <v>386</v>
      </c>
      <c r="H55" s="375">
        <f>'BVC  MS'!H54+'BVC DSP'!H55</f>
        <v>386</v>
      </c>
      <c r="I55" s="375">
        <f>'BVC  MS'!I54+'BVC DSP'!I55</f>
        <v>0</v>
      </c>
      <c r="J55" s="375">
        <f>'BVC  MS'!J54+'BVC DSP'!J55</f>
        <v>0</v>
      </c>
      <c r="K55" s="375">
        <f>'BVC  MS'!K54+'BVC DSP'!K55</f>
        <v>0</v>
      </c>
      <c r="L55" s="21">
        <v>386</v>
      </c>
      <c r="M55" s="21"/>
      <c r="N55" s="142"/>
      <c r="O55" s="142"/>
      <c r="P55" s="142"/>
      <c r="Q55" s="142"/>
      <c r="AM55" s="83"/>
    </row>
    <row r="56" spans="1:17" ht="12.75">
      <c r="A56" s="367">
        <f>A54+1</f>
        <v>42</v>
      </c>
      <c r="B56" s="381"/>
      <c r="C56" s="388"/>
      <c r="D56" s="389"/>
      <c r="E56" s="75" t="s">
        <v>115</v>
      </c>
      <c r="F56" s="375"/>
      <c r="G56" s="79">
        <f t="shared" si="0"/>
        <v>2110</v>
      </c>
      <c r="H56" s="375">
        <f>'BVC  MS'!H55+'BVC DSP'!H56</f>
        <v>612</v>
      </c>
      <c r="I56" s="375">
        <f>'BVC  MS'!I55+'BVC DSP'!I56</f>
        <v>576</v>
      </c>
      <c r="J56" s="375">
        <f>'BVC  MS'!J55+'BVC DSP'!J56</f>
        <v>300</v>
      </c>
      <c r="K56" s="375">
        <f>'BVC  MS'!K55+'BVC DSP'!K56</f>
        <v>622</v>
      </c>
      <c r="L56" s="21">
        <v>2110</v>
      </c>
      <c r="M56" s="21"/>
      <c r="N56" s="144"/>
      <c r="O56" s="144"/>
      <c r="P56" s="144"/>
      <c r="Q56" s="144"/>
    </row>
    <row r="57" spans="1:38" ht="15.75">
      <c r="A57" s="367">
        <f>A56+1</f>
        <v>43</v>
      </c>
      <c r="B57" s="368"/>
      <c r="C57" s="86">
        <v>10</v>
      </c>
      <c r="D57" s="86"/>
      <c r="E57" s="370" t="s">
        <v>127</v>
      </c>
      <c r="F57" s="371">
        <f>F58+F60</f>
        <v>0</v>
      </c>
      <c r="G57" s="371">
        <f t="shared" si="0"/>
        <v>7016</v>
      </c>
      <c r="H57" s="371">
        <f>H58+H59+H60</f>
        <v>587</v>
      </c>
      <c r="I57" s="371">
        <f>I58+I59+I60</f>
        <v>3603</v>
      </c>
      <c r="J57" s="371">
        <f>J58+J59+J60</f>
        <v>1905</v>
      </c>
      <c r="K57" s="371">
        <f>K58+K59+K60</f>
        <v>921</v>
      </c>
      <c r="L57" s="21">
        <v>7016</v>
      </c>
      <c r="M57" s="21"/>
      <c r="N57" s="142"/>
      <c r="O57" s="142"/>
      <c r="P57" s="142"/>
      <c r="Q57" s="142"/>
      <c r="S57" s="145" t="s">
        <v>128</v>
      </c>
      <c r="T57" s="145"/>
      <c r="AL57" s="83"/>
    </row>
    <row r="58" spans="1:20" ht="15">
      <c r="A58" s="367">
        <f t="shared" si="1"/>
        <v>44</v>
      </c>
      <c r="B58" s="368"/>
      <c r="C58" s="368"/>
      <c r="D58" s="369"/>
      <c r="E58" s="66" t="s">
        <v>125</v>
      </c>
      <c r="F58" s="375"/>
      <c r="G58" s="79">
        <f t="shared" si="0"/>
        <v>5762</v>
      </c>
      <c r="H58" s="375">
        <f>'BVC  MS'!H57+'BVC DSP'!H58</f>
        <v>382</v>
      </c>
      <c r="I58" s="375">
        <f>'BVC  MS'!I57+'BVC DSP'!I58</f>
        <v>3238</v>
      </c>
      <c r="J58" s="375">
        <f>'BVC  MS'!J57+'BVC DSP'!J58</f>
        <v>1550</v>
      </c>
      <c r="K58" s="375">
        <f>'BVC  MS'!K57+'BVC DSP'!K58</f>
        <v>592</v>
      </c>
      <c r="L58" s="21">
        <v>5762</v>
      </c>
      <c r="M58" s="21"/>
      <c r="N58" s="146"/>
      <c r="O58" s="146"/>
      <c r="P58" s="146"/>
      <c r="Q58" s="146"/>
      <c r="S58" s="147" t="s">
        <v>129</v>
      </c>
      <c r="T58" s="147"/>
    </row>
    <row r="59" spans="1:20" ht="15">
      <c r="A59" s="367">
        <f t="shared" si="1"/>
        <v>45</v>
      </c>
      <c r="B59" s="368"/>
      <c r="C59" s="368"/>
      <c r="D59" s="369"/>
      <c r="E59" s="143" t="s">
        <v>126</v>
      </c>
      <c r="F59" s="375"/>
      <c r="G59" s="79">
        <f t="shared" si="0"/>
        <v>0</v>
      </c>
      <c r="H59" s="375">
        <f>'BVC  MS'!H58+'BVC DSP'!H59</f>
        <v>0</v>
      </c>
      <c r="I59" s="375">
        <f>'BVC  MS'!I58+'BVC DSP'!I59</f>
        <v>0</v>
      </c>
      <c r="J59" s="375">
        <f>'BVC  MS'!J58+'BVC DSP'!J59</f>
        <v>0</v>
      </c>
      <c r="K59" s="375">
        <f>'BVC  MS'!K58+'BVC DSP'!K59</f>
        <v>0</v>
      </c>
      <c r="L59" s="21">
        <v>0</v>
      </c>
      <c r="M59" s="21"/>
      <c r="N59" s="142"/>
      <c r="O59" s="142"/>
      <c r="P59" s="142"/>
      <c r="Q59" s="142"/>
      <c r="S59" s="147"/>
      <c r="T59" s="147"/>
    </row>
    <row r="60" spans="1:20" ht="15">
      <c r="A60" s="367">
        <f t="shared" si="1"/>
        <v>46</v>
      </c>
      <c r="B60" s="368"/>
      <c r="C60" s="368"/>
      <c r="D60" s="369"/>
      <c r="E60" s="66" t="s">
        <v>130</v>
      </c>
      <c r="F60" s="375"/>
      <c r="G60" s="79">
        <f t="shared" si="0"/>
        <v>1254</v>
      </c>
      <c r="H60" s="375">
        <f>'BVC  MS'!H59+'BVC DSP'!H60</f>
        <v>205</v>
      </c>
      <c r="I60" s="375">
        <f>'BVC  MS'!I59+'BVC DSP'!I60</f>
        <v>365</v>
      </c>
      <c r="J60" s="375">
        <f>'BVC  MS'!J59+'BVC DSP'!J60</f>
        <v>355</v>
      </c>
      <c r="K60" s="375">
        <f>'BVC  MS'!K59+'BVC DSP'!K60</f>
        <v>329</v>
      </c>
      <c r="L60" s="21">
        <v>1254</v>
      </c>
      <c r="M60" s="21"/>
      <c r="N60" s="142"/>
      <c r="O60" s="142"/>
      <c r="P60" s="142"/>
      <c r="Q60" s="142"/>
      <c r="S60" s="147" t="s">
        <v>131</v>
      </c>
      <c r="T60" s="147"/>
    </row>
    <row r="61" spans="1:20" ht="15">
      <c r="A61" s="367">
        <f t="shared" si="1"/>
        <v>47</v>
      </c>
      <c r="B61" s="372" t="s">
        <v>132</v>
      </c>
      <c r="C61" s="368"/>
      <c r="D61" s="369"/>
      <c r="E61" s="370" t="s">
        <v>133</v>
      </c>
      <c r="F61" s="375">
        <f>'BVC  MS'!F60+'BVC DSP'!F61</f>
        <v>30250</v>
      </c>
      <c r="G61" s="79">
        <f t="shared" si="0"/>
        <v>13750</v>
      </c>
      <c r="H61" s="375">
        <f>'BVC  MS'!H60+'BVC DSP'!H61</f>
        <v>2683.47</v>
      </c>
      <c r="I61" s="375">
        <f>'BVC  MS'!I60+'BVC DSP'!I61</f>
        <v>0</v>
      </c>
      <c r="J61" s="375">
        <f>'BVC  MS'!J60+'BVC DSP'!J61</f>
        <v>10516.53</v>
      </c>
      <c r="K61" s="375">
        <f>'BVC  MS'!K60+'BVC DSP'!K61</f>
        <v>550</v>
      </c>
      <c r="L61" s="21">
        <v>13750</v>
      </c>
      <c r="M61" s="21"/>
      <c r="N61" s="142"/>
      <c r="O61" s="142"/>
      <c r="P61" s="142"/>
      <c r="Q61" s="142"/>
      <c r="S61" s="147" t="s">
        <v>134</v>
      </c>
      <c r="T61" s="147"/>
    </row>
    <row r="62" spans="1:20" ht="15">
      <c r="A62" s="367"/>
      <c r="B62" s="368" t="s">
        <v>59</v>
      </c>
      <c r="C62" s="368" t="s">
        <v>60</v>
      </c>
      <c r="D62" s="368" t="s">
        <v>61</v>
      </c>
      <c r="E62" s="370" t="s">
        <v>21</v>
      </c>
      <c r="F62" s="79"/>
      <c r="G62" s="79"/>
      <c r="H62" s="79"/>
      <c r="I62" s="79"/>
      <c r="J62" s="79"/>
      <c r="K62" s="393"/>
      <c r="L62" s="21"/>
      <c r="M62" s="141"/>
      <c r="N62" s="141"/>
      <c r="O62" s="141"/>
      <c r="P62" s="141"/>
      <c r="Q62" s="141"/>
      <c r="S62" s="147"/>
      <c r="T62" s="147"/>
    </row>
    <row r="63" spans="1:21" ht="25.5">
      <c r="A63" s="367">
        <f>A61+1</f>
        <v>48</v>
      </c>
      <c r="B63" s="368"/>
      <c r="C63" s="368"/>
      <c r="D63" s="369"/>
      <c r="E63" s="394" t="s">
        <v>135</v>
      </c>
      <c r="F63" s="371">
        <f>F64+F152</f>
        <v>30250</v>
      </c>
      <c r="G63" s="371">
        <f aca="true" t="shared" si="6" ref="G63:G126">H63+I63+J63+K63</f>
        <v>187576.96</v>
      </c>
      <c r="H63" s="371">
        <f>H64+H152</f>
        <v>43423.600000000006</v>
      </c>
      <c r="I63" s="371">
        <f>I64+I152</f>
        <v>43263.67</v>
      </c>
      <c r="J63" s="371">
        <f>J64+J152</f>
        <v>54428.41</v>
      </c>
      <c r="K63" s="371">
        <f>K64+K152</f>
        <v>46461.28</v>
      </c>
      <c r="L63" s="21"/>
      <c r="M63" s="149"/>
      <c r="N63" s="141"/>
      <c r="O63" s="142"/>
      <c r="P63" s="142"/>
      <c r="Q63" s="142"/>
      <c r="R63" s="150"/>
      <c r="S63" s="33"/>
      <c r="T63" s="33"/>
      <c r="U63" s="150"/>
    </row>
    <row r="64" spans="1:37" ht="15.75" thickBot="1">
      <c r="A64" s="367">
        <f>A63+1</f>
        <v>49</v>
      </c>
      <c r="B64" s="368"/>
      <c r="C64" s="368"/>
      <c r="D64" s="369"/>
      <c r="E64" s="370" t="s">
        <v>136</v>
      </c>
      <c r="F64" s="371">
        <f>F65+F99+F141+F144+F145</f>
        <v>30250</v>
      </c>
      <c r="G64" s="371">
        <f t="shared" si="6"/>
        <v>154884.22</v>
      </c>
      <c r="H64" s="371">
        <f>H65+H99+H141+H144+H145</f>
        <v>34539.83</v>
      </c>
      <c r="I64" s="371">
        <f>I65+I99+I141+I144+I145</f>
        <v>28597.219999999998</v>
      </c>
      <c r="J64" s="371">
        <f>J65+J99+J141+J144+J145</f>
        <v>48822.89</v>
      </c>
      <c r="K64" s="371">
        <f>K65+K99+K141+K144+K145</f>
        <v>42924.28</v>
      </c>
      <c r="L64" s="21"/>
      <c r="M64" s="151"/>
      <c r="N64" s="151"/>
      <c r="O64" s="151"/>
      <c r="P64" s="151"/>
      <c r="Q64" s="151"/>
      <c r="R64" s="150"/>
      <c r="S64" s="150"/>
      <c r="T64" s="1" t="s">
        <v>137</v>
      </c>
      <c r="U64" s="1"/>
      <c r="AK64" s="83"/>
    </row>
    <row r="65" spans="1:21" ht="15.75" thickBot="1">
      <c r="A65" s="367">
        <f aca="true" t="shared" si="7" ref="A65:A128">A64+1</f>
        <v>50</v>
      </c>
      <c r="B65" s="368">
        <v>10</v>
      </c>
      <c r="C65" s="368"/>
      <c r="D65" s="369"/>
      <c r="E65" s="370" t="s">
        <v>138</v>
      </c>
      <c r="F65" s="371">
        <f>F66+F84+F91</f>
        <v>0</v>
      </c>
      <c r="G65" s="371">
        <f t="shared" si="6"/>
        <v>81172.7</v>
      </c>
      <c r="H65" s="371">
        <f>H66+H84+H91</f>
        <v>19976.58</v>
      </c>
      <c r="I65" s="371">
        <f>I66+I84+I91</f>
        <v>18736.26</v>
      </c>
      <c r="J65" s="371">
        <f>J66+J84+J91</f>
        <v>20000.46</v>
      </c>
      <c r="K65" s="371">
        <f>K66+K84+K91</f>
        <v>22459.4</v>
      </c>
      <c r="L65" s="21"/>
      <c r="M65" s="51"/>
      <c r="R65" s="152" t="s">
        <v>139</v>
      </c>
      <c r="S65" s="153" t="s">
        <v>140</v>
      </c>
      <c r="T65" s="154" t="s">
        <v>141</v>
      </c>
      <c r="U65" s="155"/>
    </row>
    <row r="66" spans="1:21" ht="17.25" customHeight="1">
      <c r="A66" s="367">
        <f t="shared" si="7"/>
        <v>51</v>
      </c>
      <c r="B66" s="368"/>
      <c r="C66" s="377" t="s">
        <v>47</v>
      </c>
      <c r="D66" s="369"/>
      <c r="E66" s="370" t="s">
        <v>142</v>
      </c>
      <c r="F66" s="371">
        <f>SUM(F67:F83)</f>
        <v>0</v>
      </c>
      <c r="G66" s="371">
        <f t="shared" si="6"/>
        <v>60689.04</v>
      </c>
      <c r="H66" s="371">
        <f>SUM(H67:H83)</f>
        <v>15258.43</v>
      </c>
      <c r="I66" s="371">
        <f>SUM(I67:I83)</f>
        <v>13661.329999999998</v>
      </c>
      <c r="J66" s="371">
        <f>SUM(J67:J83)</f>
        <v>14523.46</v>
      </c>
      <c r="K66" s="371">
        <f>SUM(K67:K83)</f>
        <v>17245.82</v>
      </c>
      <c r="L66" s="21"/>
      <c r="M66" s="347">
        <v>382</v>
      </c>
      <c r="N66" s="347">
        <v>1301.7</v>
      </c>
      <c r="O66" s="347">
        <v>4536.3</v>
      </c>
      <c r="P66" s="347">
        <v>-458</v>
      </c>
      <c r="R66" s="156">
        <v>1</v>
      </c>
      <c r="S66" s="157" t="s">
        <v>143</v>
      </c>
      <c r="T66" s="158">
        <v>0</v>
      </c>
      <c r="U66" s="159"/>
    </row>
    <row r="67" spans="1:21" ht="15.75" customHeight="1">
      <c r="A67" s="367">
        <f t="shared" si="7"/>
        <v>52</v>
      </c>
      <c r="B67" s="368"/>
      <c r="C67" s="368"/>
      <c r="D67" s="379" t="s">
        <v>47</v>
      </c>
      <c r="E67" s="66" t="s">
        <v>144</v>
      </c>
      <c r="F67" s="79">
        <f aca="true" t="shared" si="8" ref="F67:F90">+F183+F299+F531+F415</f>
        <v>0</v>
      </c>
      <c r="G67" s="79">
        <f t="shared" si="6"/>
        <v>45755.34</v>
      </c>
      <c r="H67" s="79">
        <f aca="true" t="shared" si="9" ref="H67:K82">+H183+H299+H531+H415</f>
        <v>11387.59</v>
      </c>
      <c r="I67" s="79">
        <f t="shared" si="9"/>
        <v>10307.15</v>
      </c>
      <c r="J67" s="79">
        <f t="shared" si="9"/>
        <v>10647.37</v>
      </c>
      <c r="K67" s="79">
        <f t="shared" si="9"/>
        <v>13413.23</v>
      </c>
      <c r="L67" s="21"/>
      <c r="M67" s="21">
        <v>382</v>
      </c>
      <c r="N67" s="21">
        <v>3238</v>
      </c>
      <c r="O67">
        <v>1550</v>
      </c>
      <c r="P67" s="348">
        <v>592</v>
      </c>
      <c r="R67" s="160">
        <v>2</v>
      </c>
      <c r="S67" s="158" t="s">
        <v>145</v>
      </c>
      <c r="T67" s="158">
        <v>0</v>
      </c>
      <c r="U67" s="161"/>
    </row>
    <row r="68" spans="1:21" ht="20.25" customHeight="1">
      <c r="A68" s="367">
        <f t="shared" si="7"/>
        <v>53</v>
      </c>
      <c r="B68" s="368"/>
      <c r="C68" s="368"/>
      <c r="D68" s="379" t="s">
        <v>80</v>
      </c>
      <c r="E68" s="66" t="s">
        <v>146</v>
      </c>
      <c r="F68" s="79">
        <f t="shared" si="8"/>
        <v>0</v>
      </c>
      <c r="G68" s="79">
        <f t="shared" si="6"/>
        <v>0</v>
      </c>
      <c r="H68" s="79">
        <f t="shared" si="9"/>
        <v>0</v>
      </c>
      <c r="I68" s="79">
        <f t="shared" si="9"/>
        <v>0</v>
      </c>
      <c r="J68" s="79">
        <f t="shared" si="9"/>
        <v>0</v>
      </c>
      <c r="K68" s="79">
        <f t="shared" si="9"/>
        <v>0</v>
      </c>
      <c r="L68" s="21"/>
      <c r="M68" s="21">
        <f>M67-M66</f>
        <v>0</v>
      </c>
      <c r="N68" s="21">
        <f>N67-N66</f>
        <v>1936.3</v>
      </c>
      <c r="O68" s="21">
        <f>O67-O66</f>
        <v>-2986.3</v>
      </c>
      <c r="P68" s="21">
        <f>P67-P66</f>
        <v>1050</v>
      </c>
      <c r="R68" s="160">
        <v>3</v>
      </c>
      <c r="S68" s="158" t="s">
        <v>147</v>
      </c>
      <c r="T68" s="158">
        <v>0</v>
      </c>
      <c r="U68" s="159"/>
    </row>
    <row r="69" spans="1:21" ht="15" customHeight="1">
      <c r="A69" s="367">
        <f t="shared" si="7"/>
        <v>54</v>
      </c>
      <c r="B69" s="368"/>
      <c r="C69" s="368"/>
      <c r="D69" s="379" t="s">
        <v>84</v>
      </c>
      <c r="E69" s="66" t="s">
        <v>148</v>
      </c>
      <c r="F69" s="79">
        <f t="shared" si="8"/>
        <v>0</v>
      </c>
      <c r="G69" s="79">
        <f t="shared" si="6"/>
        <v>0</v>
      </c>
      <c r="H69" s="79">
        <f t="shared" si="9"/>
        <v>0</v>
      </c>
      <c r="I69" s="79">
        <f t="shared" si="9"/>
        <v>0</v>
      </c>
      <c r="J69" s="79">
        <f t="shared" si="9"/>
        <v>0</v>
      </c>
      <c r="K69" s="79">
        <f t="shared" si="9"/>
        <v>0</v>
      </c>
      <c r="L69" s="21"/>
      <c r="M69" s="21"/>
      <c r="R69" s="160">
        <v>4</v>
      </c>
      <c r="S69" s="158" t="s">
        <v>149</v>
      </c>
      <c r="T69" s="158">
        <v>0</v>
      </c>
      <c r="U69" s="162"/>
    </row>
    <row r="70" spans="1:21" ht="16.5" customHeight="1">
      <c r="A70" s="367">
        <f t="shared" si="7"/>
        <v>55</v>
      </c>
      <c r="B70" s="368"/>
      <c r="C70" s="368"/>
      <c r="D70" s="379" t="s">
        <v>108</v>
      </c>
      <c r="E70" s="66" t="s">
        <v>150</v>
      </c>
      <c r="F70" s="79">
        <f t="shared" si="8"/>
        <v>0</v>
      </c>
      <c r="G70" s="79">
        <f t="shared" si="6"/>
        <v>0</v>
      </c>
      <c r="H70" s="79">
        <f t="shared" si="9"/>
        <v>0</v>
      </c>
      <c r="I70" s="79">
        <f t="shared" si="9"/>
        <v>0</v>
      </c>
      <c r="J70" s="79">
        <f t="shared" si="9"/>
        <v>0</v>
      </c>
      <c r="K70" s="79">
        <f t="shared" si="9"/>
        <v>0</v>
      </c>
      <c r="L70" s="21"/>
      <c r="M70" s="21"/>
      <c r="R70" s="160">
        <v>5</v>
      </c>
      <c r="S70" s="158" t="s">
        <v>151</v>
      </c>
      <c r="T70" s="158">
        <v>0</v>
      </c>
      <c r="U70" s="162"/>
    </row>
    <row r="71" spans="1:21" ht="46.5" customHeight="1">
      <c r="A71" s="367">
        <f t="shared" si="7"/>
        <v>56</v>
      </c>
      <c r="B71" s="368"/>
      <c r="C71" s="368"/>
      <c r="D71" s="379" t="s">
        <v>41</v>
      </c>
      <c r="E71" s="66" t="s">
        <v>152</v>
      </c>
      <c r="F71" s="79">
        <f t="shared" si="8"/>
        <v>0</v>
      </c>
      <c r="G71" s="79">
        <f t="shared" si="6"/>
        <v>8271.01</v>
      </c>
      <c r="H71" s="79">
        <f t="shared" si="9"/>
        <v>2155.7</v>
      </c>
      <c r="I71" s="79">
        <f t="shared" si="9"/>
        <v>1875.47</v>
      </c>
      <c r="J71" s="79">
        <f t="shared" si="9"/>
        <v>2136.45</v>
      </c>
      <c r="K71" s="79">
        <f t="shared" si="9"/>
        <v>2103.39</v>
      </c>
      <c r="L71" s="21"/>
      <c r="M71" s="21"/>
      <c r="R71" s="160">
        <v>6</v>
      </c>
      <c r="S71" s="158" t="s">
        <v>153</v>
      </c>
      <c r="T71" s="158">
        <v>0</v>
      </c>
      <c r="U71" s="162"/>
    </row>
    <row r="72" spans="1:21" ht="15" customHeight="1" thickBot="1">
      <c r="A72" s="367">
        <f t="shared" si="7"/>
        <v>57</v>
      </c>
      <c r="B72" s="368"/>
      <c r="C72" s="368"/>
      <c r="D72" s="379" t="s">
        <v>154</v>
      </c>
      <c r="E72" s="66" t="s">
        <v>155</v>
      </c>
      <c r="F72" s="79">
        <f t="shared" si="8"/>
        <v>0</v>
      </c>
      <c r="G72" s="79">
        <f t="shared" si="6"/>
        <v>3817.49</v>
      </c>
      <c r="H72" s="79">
        <f t="shared" si="9"/>
        <v>994.85</v>
      </c>
      <c r="I72" s="79">
        <f t="shared" si="9"/>
        <v>842.17</v>
      </c>
      <c r="J72" s="79">
        <f t="shared" si="9"/>
        <v>990.4300000000001</v>
      </c>
      <c r="K72" s="79">
        <f t="shared" si="9"/>
        <v>990.04</v>
      </c>
      <c r="L72" s="21"/>
      <c r="M72" s="21"/>
      <c r="R72" s="163">
        <v>7</v>
      </c>
      <c r="S72" s="164" t="s">
        <v>156</v>
      </c>
      <c r="T72" s="158">
        <v>0</v>
      </c>
      <c r="U72" s="162"/>
    </row>
    <row r="73" spans="1:37" ht="12.75">
      <c r="A73" s="367">
        <f t="shared" si="7"/>
        <v>58</v>
      </c>
      <c r="B73" s="368"/>
      <c r="C73" s="368"/>
      <c r="D73" s="379" t="s">
        <v>157</v>
      </c>
      <c r="E73" s="66" t="s">
        <v>158</v>
      </c>
      <c r="F73" s="79">
        <f t="shared" si="8"/>
        <v>0</v>
      </c>
      <c r="G73" s="79">
        <f t="shared" si="6"/>
        <v>0</v>
      </c>
      <c r="H73" s="79">
        <f t="shared" si="9"/>
        <v>0</v>
      </c>
      <c r="I73" s="79">
        <f t="shared" si="9"/>
        <v>0</v>
      </c>
      <c r="J73" s="79">
        <f t="shared" si="9"/>
        <v>0</v>
      </c>
      <c r="K73" s="79">
        <f t="shared" si="9"/>
        <v>0</v>
      </c>
      <c r="L73" s="21"/>
      <c r="M73" s="21"/>
      <c r="AK73" s="83"/>
    </row>
    <row r="74" spans="1:13" ht="12.75">
      <c r="A74" s="367">
        <f t="shared" si="7"/>
        <v>59</v>
      </c>
      <c r="B74" s="368"/>
      <c r="C74" s="368"/>
      <c r="D74" s="379" t="s">
        <v>65</v>
      </c>
      <c r="E74" s="66" t="s">
        <v>159</v>
      </c>
      <c r="F74" s="79">
        <f t="shared" si="8"/>
        <v>0</v>
      </c>
      <c r="G74" s="79">
        <f t="shared" si="6"/>
        <v>0</v>
      </c>
      <c r="H74" s="79">
        <f t="shared" si="9"/>
        <v>0</v>
      </c>
      <c r="I74" s="79">
        <f t="shared" si="9"/>
        <v>0</v>
      </c>
      <c r="J74" s="79">
        <f t="shared" si="9"/>
        <v>0</v>
      </c>
      <c r="K74" s="79">
        <f t="shared" si="9"/>
        <v>0</v>
      </c>
      <c r="L74" s="21"/>
      <c r="M74" s="21"/>
    </row>
    <row r="75" spans="1:13" ht="12.75">
      <c r="A75" s="367">
        <f t="shared" si="7"/>
        <v>60</v>
      </c>
      <c r="B75" s="368"/>
      <c r="C75" s="368"/>
      <c r="D75" s="379" t="s">
        <v>160</v>
      </c>
      <c r="E75" s="66" t="s">
        <v>161</v>
      </c>
      <c r="F75" s="79">
        <f t="shared" si="8"/>
        <v>0</v>
      </c>
      <c r="G75" s="79">
        <f t="shared" si="6"/>
        <v>0</v>
      </c>
      <c r="H75" s="79">
        <f t="shared" si="9"/>
        <v>0</v>
      </c>
      <c r="I75" s="79">
        <f t="shared" si="9"/>
        <v>0</v>
      </c>
      <c r="J75" s="79">
        <f t="shared" si="9"/>
        <v>0</v>
      </c>
      <c r="K75" s="79">
        <f t="shared" si="9"/>
        <v>0</v>
      </c>
      <c r="L75" s="21"/>
      <c r="M75" s="21"/>
    </row>
    <row r="76" spans="1:37" ht="15">
      <c r="A76" s="367">
        <f t="shared" si="7"/>
        <v>61</v>
      </c>
      <c r="B76" s="368"/>
      <c r="C76" s="368"/>
      <c r="D76" s="369">
        <v>10</v>
      </c>
      <c r="E76" s="66" t="s">
        <v>162</v>
      </c>
      <c r="F76" s="79">
        <f t="shared" si="8"/>
        <v>0</v>
      </c>
      <c r="G76" s="79">
        <f t="shared" si="6"/>
        <v>0</v>
      </c>
      <c r="H76" s="79">
        <f t="shared" si="9"/>
        <v>0</v>
      </c>
      <c r="I76" s="79">
        <f t="shared" si="9"/>
        <v>0</v>
      </c>
      <c r="J76" s="79">
        <f t="shared" si="9"/>
        <v>0</v>
      </c>
      <c r="K76" s="79">
        <f t="shared" si="9"/>
        <v>0</v>
      </c>
      <c r="L76" s="21"/>
      <c r="M76" s="21"/>
      <c r="R76" s="11" t="s">
        <v>98</v>
      </c>
      <c r="S76" s="70"/>
      <c r="T76" s="70"/>
      <c r="U76" s="35" t="s">
        <v>99</v>
      </c>
      <c r="V76" s="70"/>
      <c r="W76" s="70"/>
      <c r="AK76">
        <v>238369.69</v>
      </c>
    </row>
    <row r="77" spans="1:37" ht="12.75">
      <c r="A77" s="367">
        <f t="shared" si="7"/>
        <v>62</v>
      </c>
      <c r="B77" s="368"/>
      <c r="C77" s="368"/>
      <c r="D77" s="369">
        <v>11</v>
      </c>
      <c r="E77" s="66" t="s">
        <v>163</v>
      </c>
      <c r="F77" s="79">
        <f t="shared" si="8"/>
        <v>0</v>
      </c>
      <c r="G77" s="79">
        <f t="shared" si="6"/>
        <v>2839.2</v>
      </c>
      <c r="H77" s="79">
        <f t="shared" si="9"/>
        <v>719.29</v>
      </c>
      <c r="I77" s="79">
        <f t="shared" si="9"/>
        <v>635.54</v>
      </c>
      <c r="J77" s="79">
        <f t="shared" si="9"/>
        <v>746.21</v>
      </c>
      <c r="K77" s="79">
        <f t="shared" si="9"/>
        <v>738.16</v>
      </c>
      <c r="L77" s="21"/>
      <c r="M77" s="21"/>
      <c r="AK77">
        <v>1222222</v>
      </c>
    </row>
    <row r="78" spans="1:37" ht="12.75">
      <c r="A78" s="367">
        <f t="shared" si="7"/>
        <v>63</v>
      </c>
      <c r="B78" s="368"/>
      <c r="C78" s="368"/>
      <c r="D78" s="369">
        <v>12</v>
      </c>
      <c r="E78" s="66" t="s">
        <v>164</v>
      </c>
      <c r="F78" s="79">
        <f t="shared" si="8"/>
        <v>0</v>
      </c>
      <c r="G78" s="79">
        <f t="shared" si="6"/>
        <v>0</v>
      </c>
      <c r="H78" s="79">
        <f t="shared" si="9"/>
        <v>0</v>
      </c>
      <c r="I78" s="79">
        <f t="shared" si="9"/>
        <v>0</v>
      </c>
      <c r="J78" s="79">
        <f t="shared" si="9"/>
        <v>0</v>
      </c>
      <c r="K78" s="79">
        <f t="shared" si="9"/>
        <v>0</v>
      </c>
      <c r="L78" s="21"/>
      <c r="M78" s="21"/>
      <c r="R78" s="130"/>
      <c r="S78" s="70"/>
      <c r="T78" s="70"/>
      <c r="AK78">
        <v>318400</v>
      </c>
    </row>
    <row r="79" spans="1:37" ht="12.75">
      <c r="A79" s="367">
        <f t="shared" si="7"/>
        <v>64</v>
      </c>
      <c r="B79" s="368"/>
      <c r="C79" s="368"/>
      <c r="D79" s="369">
        <v>13</v>
      </c>
      <c r="E79" s="66" t="s">
        <v>165</v>
      </c>
      <c r="F79" s="79">
        <f t="shared" si="8"/>
        <v>0</v>
      </c>
      <c r="G79" s="79">
        <f t="shared" si="6"/>
        <v>6</v>
      </c>
      <c r="H79" s="79">
        <f t="shared" si="9"/>
        <v>1</v>
      </c>
      <c r="I79" s="79">
        <f t="shared" si="9"/>
        <v>1</v>
      </c>
      <c r="J79" s="79">
        <f t="shared" si="9"/>
        <v>3</v>
      </c>
      <c r="K79" s="79">
        <f t="shared" si="9"/>
        <v>1</v>
      </c>
      <c r="L79" s="21"/>
      <c r="M79" s="21"/>
      <c r="AK79">
        <v>124305</v>
      </c>
    </row>
    <row r="80" spans="1:37" ht="12.75">
      <c r="A80" s="367">
        <f t="shared" si="7"/>
        <v>65</v>
      </c>
      <c r="B80" s="368"/>
      <c r="C80" s="368"/>
      <c r="D80" s="369">
        <v>14</v>
      </c>
      <c r="E80" s="66" t="s">
        <v>166</v>
      </c>
      <c r="F80" s="79">
        <f t="shared" si="8"/>
        <v>0</v>
      </c>
      <c r="G80" s="79">
        <f t="shared" si="6"/>
        <v>0</v>
      </c>
      <c r="H80" s="79">
        <f t="shared" si="9"/>
        <v>0</v>
      </c>
      <c r="I80" s="79">
        <f t="shared" si="9"/>
        <v>0</v>
      </c>
      <c r="J80" s="79">
        <f t="shared" si="9"/>
        <v>0</v>
      </c>
      <c r="K80" s="79">
        <f t="shared" si="9"/>
        <v>0</v>
      </c>
      <c r="L80" s="21"/>
      <c r="M80" s="21"/>
      <c r="AK80">
        <v>8799</v>
      </c>
    </row>
    <row r="81" spans="1:37" ht="12.75">
      <c r="A81" s="367">
        <f t="shared" si="7"/>
        <v>66</v>
      </c>
      <c r="B81" s="368"/>
      <c r="C81" s="368"/>
      <c r="D81" s="369">
        <v>15</v>
      </c>
      <c r="E81" s="66" t="s">
        <v>167</v>
      </c>
      <c r="F81" s="79">
        <f t="shared" si="8"/>
        <v>0</v>
      </c>
      <c r="G81" s="79">
        <f t="shared" si="6"/>
        <v>0</v>
      </c>
      <c r="H81" s="79">
        <f t="shared" si="9"/>
        <v>0</v>
      </c>
      <c r="I81" s="79">
        <f t="shared" si="9"/>
        <v>0</v>
      </c>
      <c r="J81" s="79">
        <f t="shared" si="9"/>
        <v>0</v>
      </c>
      <c r="K81" s="79">
        <f t="shared" si="9"/>
        <v>0</v>
      </c>
      <c r="L81" s="21"/>
      <c r="M81" s="21"/>
      <c r="AK81">
        <v>4284</v>
      </c>
    </row>
    <row r="82" spans="1:37" ht="12.75">
      <c r="A82" s="367">
        <f t="shared" si="7"/>
        <v>67</v>
      </c>
      <c r="B82" s="368"/>
      <c r="C82" s="368"/>
      <c r="D82" s="369">
        <v>16</v>
      </c>
      <c r="E82" s="66" t="s">
        <v>168</v>
      </c>
      <c r="F82" s="79">
        <f t="shared" si="8"/>
        <v>0</v>
      </c>
      <c r="G82" s="79">
        <f t="shared" si="6"/>
        <v>0</v>
      </c>
      <c r="H82" s="79">
        <f t="shared" si="9"/>
        <v>0</v>
      </c>
      <c r="I82" s="79">
        <f t="shared" si="9"/>
        <v>0</v>
      </c>
      <c r="J82" s="79">
        <f t="shared" si="9"/>
        <v>0</v>
      </c>
      <c r="K82" s="79">
        <f t="shared" si="9"/>
        <v>0</v>
      </c>
      <c r="L82" s="21"/>
      <c r="M82" s="21"/>
      <c r="AK82" s="83">
        <f>SUM(AK76:AK81)</f>
        <v>1916379.69</v>
      </c>
    </row>
    <row r="83" spans="1:13" ht="12.75">
      <c r="A83" s="367">
        <f t="shared" si="7"/>
        <v>68</v>
      </c>
      <c r="B83" s="368"/>
      <c r="C83" s="368"/>
      <c r="D83" s="369">
        <v>30</v>
      </c>
      <c r="E83" s="66" t="s">
        <v>169</v>
      </c>
      <c r="F83" s="79">
        <f t="shared" si="8"/>
        <v>0</v>
      </c>
      <c r="G83" s="79">
        <f t="shared" si="6"/>
        <v>0</v>
      </c>
      <c r="H83" s="79">
        <f aca="true" t="shared" si="10" ref="H83:K90">+H199+H315+H547+H431</f>
        <v>0</v>
      </c>
      <c r="I83" s="79">
        <f t="shared" si="10"/>
        <v>0</v>
      </c>
      <c r="J83" s="79">
        <f t="shared" si="10"/>
        <v>0</v>
      </c>
      <c r="K83" s="79">
        <f t="shared" si="10"/>
        <v>0</v>
      </c>
      <c r="L83" s="21"/>
      <c r="M83" s="21"/>
    </row>
    <row r="84" spans="1:13" ht="12.75">
      <c r="A84" s="367">
        <f t="shared" si="7"/>
        <v>69</v>
      </c>
      <c r="B84" s="368"/>
      <c r="C84" s="377" t="s">
        <v>80</v>
      </c>
      <c r="D84" s="369"/>
      <c r="E84" s="370" t="s">
        <v>170</v>
      </c>
      <c r="F84" s="371">
        <f t="shared" si="8"/>
        <v>0</v>
      </c>
      <c r="G84" s="371">
        <f t="shared" si="6"/>
        <v>4044.87</v>
      </c>
      <c r="H84" s="371">
        <f t="shared" si="10"/>
        <v>690.4399999999999</v>
      </c>
      <c r="I84" s="371">
        <f t="shared" si="10"/>
        <v>1066.87</v>
      </c>
      <c r="J84" s="371">
        <f t="shared" si="10"/>
        <v>1212.4099999999999</v>
      </c>
      <c r="K84" s="378">
        <f t="shared" si="10"/>
        <v>1075.15</v>
      </c>
      <c r="L84" s="21"/>
      <c r="M84" s="21"/>
    </row>
    <row r="85" spans="1:14" ht="12.75">
      <c r="A85" s="367">
        <f t="shared" si="7"/>
        <v>70</v>
      </c>
      <c r="B85" s="368"/>
      <c r="C85" s="368"/>
      <c r="D85" s="379" t="s">
        <v>47</v>
      </c>
      <c r="E85" s="66" t="s">
        <v>171</v>
      </c>
      <c r="F85" s="79">
        <f t="shared" si="8"/>
        <v>0</v>
      </c>
      <c r="G85" s="79">
        <f t="shared" si="6"/>
        <v>4044.87</v>
      </c>
      <c r="H85" s="79">
        <f t="shared" si="10"/>
        <v>690.4399999999999</v>
      </c>
      <c r="I85" s="79">
        <f t="shared" si="10"/>
        <v>1066.87</v>
      </c>
      <c r="J85" s="79">
        <f t="shared" si="10"/>
        <v>1212.4099999999999</v>
      </c>
      <c r="K85" s="79">
        <f t="shared" si="10"/>
        <v>1075.15</v>
      </c>
      <c r="L85" s="21"/>
      <c r="M85" s="21"/>
      <c r="N85" s="21"/>
    </row>
    <row r="86" spans="1:13" ht="12.75">
      <c r="A86" s="367">
        <f t="shared" si="7"/>
        <v>71</v>
      </c>
      <c r="B86" s="368"/>
      <c r="C86" s="368"/>
      <c r="D86" s="379" t="s">
        <v>80</v>
      </c>
      <c r="E86" s="66" t="s">
        <v>172</v>
      </c>
      <c r="F86" s="79">
        <f t="shared" si="8"/>
        <v>0</v>
      </c>
      <c r="G86" s="79">
        <f t="shared" si="6"/>
        <v>0</v>
      </c>
      <c r="H86" s="79">
        <f t="shared" si="10"/>
        <v>0</v>
      </c>
      <c r="I86" s="79">
        <f t="shared" si="10"/>
        <v>0</v>
      </c>
      <c r="J86" s="79">
        <f t="shared" si="10"/>
        <v>0</v>
      </c>
      <c r="K86" s="393">
        <f t="shared" si="10"/>
        <v>0</v>
      </c>
      <c r="L86" s="21"/>
      <c r="M86" s="21"/>
    </row>
    <row r="87" spans="1:13" ht="12.75">
      <c r="A87" s="367">
        <f t="shared" si="7"/>
        <v>72</v>
      </c>
      <c r="B87" s="368"/>
      <c r="C87" s="368"/>
      <c r="D87" s="379" t="s">
        <v>84</v>
      </c>
      <c r="E87" s="66" t="s">
        <v>173</v>
      </c>
      <c r="F87" s="79">
        <f t="shared" si="8"/>
        <v>0</v>
      </c>
      <c r="G87" s="79">
        <f t="shared" si="6"/>
        <v>0</v>
      </c>
      <c r="H87" s="79">
        <f t="shared" si="10"/>
        <v>0</v>
      </c>
      <c r="I87" s="79">
        <f t="shared" si="10"/>
        <v>0</v>
      </c>
      <c r="J87" s="79">
        <f t="shared" si="10"/>
        <v>0</v>
      </c>
      <c r="K87" s="393">
        <f t="shared" si="10"/>
        <v>0</v>
      </c>
      <c r="L87" s="21"/>
      <c r="M87" s="21"/>
    </row>
    <row r="88" spans="1:13" ht="12.75">
      <c r="A88" s="367">
        <f t="shared" si="7"/>
        <v>73</v>
      </c>
      <c r="B88" s="368"/>
      <c r="C88" s="368"/>
      <c r="D88" s="379" t="s">
        <v>108</v>
      </c>
      <c r="E88" s="66" t="s">
        <v>174</v>
      </c>
      <c r="F88" s="79">
        <f t="shared" si="8"/>
        <v>0</v>
      </c>
      <c r="G88" s="79">
        <f t="shared" si="6"/>
        <v>0</v>
      </c>
      <c r="H88" s="79">
        <f t="shared" si="10"/>
        <v>0</v>
      </c>
      <c r="I88" s="79">
        <f t="shared" si="10"/>
        <v>0</v>
      </c>
      <c r="J88" s="79">
        <f t="shared" si="10"/>
        <v>0</v>
      </c>
      <c r="K88" s="393">
        <f t="shared" si="10"/>
        <v>0</v>
      </c>
      <c r="L88" s="21"/>
      <c r="M88" s="21"/>
    </row>
    <row r="89" spans="1:13" ht="12.75">
      <c r="A89" s="367">
        <f t="shared" si="7"/>
        <v>74</v>
      </c>
      <c r="B89" s="368"/>
      <c r="C89" s="368"/>
      <c r="D89" s="379" t="s">
        <v>41</v>
      </c>
      <c r="E89" s="66" t="s">
        <v>175</v>
      </c>
      <c r="F89" s="79">
        <f t="shared" si="8"/>
        <v>0</v>
      </c>
      <c r="G89" s="79">
        <f t="shared" si="6"/>
        <v>0</v>
      </c>
      <c r="H89" s="79">
        <f t="shared" si="10"/>
        <v>0</v>
      </c>
      <c r="I89" s="79">
        <f t="shared" si="10"/>
        <v>0</v>
      </c>
      <c r="J89" s="79">
        <f t="shared" si="10"/>
        <v>0</v>
      </c>
      <c r="K89" s="393">
        <f t="shared" si="10"/>
        <v>0</v>
      </c>
      <c r="L89" s="21"/>
      <c r="M89" s="21"/>
    </row>
    <row r="90" spans="1:13" ht="12.75">
      <c r="A90" s="367">
        <f t="shared" si="7"/>
        <v>75</v>
      </c>
      <c r="B90" s="368"/>
      <c r="C90" s="368"/>
      <c r="D90" s="369">
        <v>30</v>
      </c>
      <c r="E90" s="66" t="s">
        <v>176</v>
      </c>
      <c r="F90" s="79">
        <f t="shared" si="8"/>
        <v>0</v>
      </c>
      <c r="G90" s="79">
        <f t="shared" si="6"/>
        <v>0</v>
      </c>
      <c r="H90" s="79">
        <f t="shared" si="10"/>
        <v>0</v>
      </c>
      <c r="I90" s="79">
        <f t="shared" si="10"/>
        <v>0</v>
      </c>
      <c r="J90" s="79">
        <f t="shared" si="10"/>
        <v>0</v>
      </c>
      <c r="K90" s="393">
        <f t="shared" si="10"/>
        <v>0</v>
      </c>
      <c r="L90" s="21"/>
      <c r="M90" s="21"/>
    </row>
    <row r="91" spans="1:14" ht="12.75">
      <c r="A91" s="367">
        <f t="shared" si="7"/>
        <v>76</v>
      </c>
      <c r="B91" s="368"/>
      <c r="C91" s="377" t="s">
        <v>84</v>
      </c>
      <c r="D91" s="369"/>
      <c r="E91" s="370" t="s">
        <v>177</v>
      </c>
      <c r="F91" s="371">
        <f>F92+F93+F94+F95+F96+F97+F98</f>
        <v>0</v>
      </c>
      <c r="G91" s="371">
        <f t="shared" si="6"/>
        <v>16438.79</v>
      </c>
      <c r="H91" s="371">
        <f>H92+H93+H94+H95+H96+H97+H98</f>
        <v>4027.71</v>
      </c>
      <c r="I91" s="371">
        <f>I92+I93+I94+I95+I96+I97+I98</f>
        <v>4008.0600000000004</v>
      </c>
      <c r="J91" s="371">
        <f>J92+J93+J94+J95+J96+J97+J98</f>
        <v>4264.589999999999</v>
      </c>
      <c r="K91" s="371">
        <f>K92+K93+K94+K95+K96+K97+K98</f>
        <v>4138.429999999999</v>
      </c>
      <c r="L91" s="21"/>
      <c r="M91" s="21"/>
      <c r="N91" s="21"/>
    </row>
    <row r="92" spans="1:13" ht="12.75">
      <c r="A92" s="367">
        <f t="shared" si="7"/>
        <v>77</v>
      </c>
      <c r="B92" s="368"/>
      <c r="C92" s="368"/>
      <c r="D92" s="379" t="s">
        <v>47</v>
      </c>
      <c r="E92" s="66" t="s">
        <v>178</v>
      </c>
      <c r="F92" s="79">
        <f aca="true" t="shared" si="11" ref="F92:F98">+F208+F324+F556+F440</f>
        <v>0</v>
      </c>
      <c r="G92" s="79">
        <f t="shared" si="6"/>
        <v>12498.65</v>
      </c>
      <c r="H92" s="79">
        <f aca="true" t="shared" si="12" ref="H92:K98">+H208+H324+H556+H440</f>
        <v>3109.4700000000003</v>
      </c>
      <c r="I92" s="79">
        <f t="shared" si="12"/>
        <v>3057.71</v>
      </c>
      <c r="J92" s="79">
        <f t="shared" si="12"/>
        <v>3186.16</v>
      </c>
      <c r="K92" s="79">
        <f t="shared" si="12"/>
        <v>3145.31</v>
      </c>
      <c r="L92" s="21"/>
      <c r="M92" s="21"/>
    </row>
    <row r="93" spans="1:14" ht="12.75">
      <c r="A93" s="367">
        <f t="shared" si="7"/>
        <v>78</v>
      </c>
      <c r="B93" s="368"/>
      <c r="C93" s="368"/>
      <c r="D93" s="379" t="s">
        <v>80</v>
      </c>
      <c r="E93" s="66" t="s">
        <v>179</v>
      </c>
      <c r="F93" s="79">
        <f t="shared" si="11"/>
        <v>0</v>
      </c>
      <c r="G93" s="79">
        <f t="shared" si="6"/>
        <v>293.95</v>
      </c>
      <c r="H93" s="79">
        <f t="shared" si="12"/>
        <v>72.52</v>
      </c>
      <c r="I93" s="79">
        <f t="shared" si="12"/>
        <v>73.86</v>
      </c>
      <c r="J93" s="79">
        <f t="shared" si="12"/>
        <v>74.2</v>
      </c>
      <c r="K93" s="79">
        <f t="shared" si="12"/>
        <v>73.37</v>
      </c>
      <c r="L93" s="21"/>
      <c r="M93" s="21"/>
      <c r="N93" s="21"/>
    </row>
    <row r="94" spans="1:13" ht="12.75">
      <c r="A94" s="367">
        <f t="shared" si="7"/>
        <v>79</v>
      </c>
      <c r="B94" s="368"/>
      <c r="C94" s="368"/>
      <c r="D94" s="379" t="s">
        <v>84</v>
      </c>
      <c r="E94" s="66" t="s">
        <v>180</v>
      </c>
      <c r="F94" s="79">
        <f t="shared" si="11"/>
        <v>0</v>
      </c>
      <c r="G94" s="79">
        <f t="shared" si="6"/>
        <v>3044.0499999999997</v>
      </c>
      <c r="H94" s="79">
        <f t="shared" si="12"/>
        <v>763.66</v>
      </c>
      <c r="I94" s="79">
        <f t="shared" si="12"/>
        <v>727.29</v>
      </c>
      <c r="J94" s="79">
        <f t="shared" si="12"/>
        <v>780.75</v>
      </c>
      <c r="K94" s="79">
        <f t="shared" si="12"/>
        <v>772.35</v>
      </c>
      <c r="L94" s="21"/>
      <c r="M94" s="21"/>
    </row>
    <row r="95" spans="1:13" ht="12.75">
      <c r="A95" s="367">
        <f t="shared" si="7"/>
        <v>80</v>
      </c>
      <c r="B95" s="368"/>
      <c r="C95" s="368"/>
      <c r="D95" s="379" t="s">
        <v>108</v>
      </c>
      <c r="E95" s="66" t="s">
        <v>181</v>
      </c>
      <c r="F95" s="79">
        <f t="shared" si="11"/>
        <v>0</v>
      </c>
      <c r="G95" s="79">
        <f t="shared" si="6"/>
        <v>165.99</v>
      </c>
      <c r="H95" s="79">
        <f t="shared" si="12"/>
        <v>40.94</v>
      </c>
      <c r="I95" s="79">
        <f t="shared" si="12"/>
        <v>41.69</v>
      </c>
      <c r="J95" s="79">
        <f t="shared" si="12"/>
        <v>42.93</v>
      </c>
      <c r="K95" s="79">
        <f t="shared" si="12"/>
        <v>40.43</v>
      </c>
      <c r="L95" s="21"/>
      <c r="M95" s="21"/>
    </row>
    <row r="96" spans="1:13" ht="12.75">
      <c r="A96" s="367">
        <f t="shared" si="7"/>
        <v>81</v>
      </c>
      <c r="B96" s="368"/>
      <c r="C96" s="368"/>
      <c r="D96" s="379" t="s">
        <v>41</v>
      </c>
      <c r="E96" s="66" t="s">
        <v>182</v>
      </c>
      <c r="F96" s="79">
        <f t="shared" si="11"/>
        <v>0</v>
      </c>
      <c r="G96" s="79">
        <f t="shared" si="6"/>
        <v>0</v>
      </c>
      <c r="H96" s="79">
        <f t="shared" si="12"/>
        <v>0</v>
      </c>
      <c r="I96" s="79">
        <f t="shared" si="12"/>
        <v>0</v>
      </c>
      <c r="J96" s="79">
        <f t="shared" si="12"/>
        <v>0</v>
      </c>
      <c r="K96" s="79">
        <f t="shared" si="12"/>
        <v>0</v>
      </c>
      <c r="L96" s="21"/>
      <c r="M96" s="21"/>
    </row>
    <row r="97" spans="1:13" ht="12.75">
      <c r="A97" s="367">
        <f t="shared" si="7"/>
        <v>82</v>
      </c>
      <c r="B97" s="368"/>
      <c r="C97" s="368"/>
      <c r="D97" s="379" t="s">
        <v>154</v>
      </c>
      <c r="E97" s="66" t="s">
        <v>183</v>
      </c>
      <c r="F97" s="79">
        <f t="shared" si="11"/>
        <v>0</v>
      </c>
      <c r="G97" s="79">
        <f t="shared" si="6"/>
        <v>436.15</v>
      </c>
      <c r="H97" s="79">
        <f t="shared" si="12"/>
        <v>41.120000000000005</v>
      </c>
      <c r="I97" s="79">
        <f t="shared" si="12"/>
        <v>107.50999999999999</v>
      </c>
      <c r="J97" s="79">
        <f t="shared" si="12"/>
        <v>180.55</v>
      </c>
      <c r="K97" s="79">
        <f t="shared" si="12"/>
        <v>106.97</v>
      </c>
      <c r="L97" s="21"/>
      <c r="M97" s="21"/>
    </row>
    <row r="98" spans="1:13" ht="12.75">
      <c r="A98" s="367">
        <f t="shared" si="7"/>
        <v>83</v>
      </c>
      <c r="B98" s="368"/>
      <c r="C98" s="368"/>
      <c r="D98" s="379" t="s">
        <v>157</v>
      </c>
      <c r="E98" s="66" t="s">
        <v>184</v>
      </c>
      <c r="F98" s="79">
        <f t="shared" si="11"/>
        <v>0</v>
      </c>
      <c r="G98" s="79">
        <f t="shared" si="6"/>
        <v>0</v>
      </c>
      <c r="H98" s="79">
        <f t="shared" si="12"/>
        <v>0</v>
      </c>
      <c r="I98" s="79">
        <f t="shared" si="12"/>
        <v>0</v>
      </c>
      <c r="J98" s="79">
        <f t="shared" si="12"/>
        <v>0</v>
      </c>
      <c r="K98" s="79">
        <f t="shared" si="12"/>
        <v>0</v>
      </c>
      <c r="L98" s="21"/>
      <c r="M98" s="21"/>
    </row>
    <row r="99" spans="1:13" ht="12.75">
      <c r="A99" s="367">
        <f t="shared" si="7"/>
        <v>84</v>
      </c>
      <c r="B99" s="368">
        <v>20</v>
      </c>
      <c r="C99" s="368"/>
      <c r="D99" s="369"/>
      <c r="E99" s="370" t="s">
        <v>185</v>
      </c>
      <c r="F99" s="371">
        <f>F100+F111+F112+F115+F120+F124+F127+F128+F129+F130+F131+F132+F133+F134+F135</f>
        <v>0</v>
      </c>
      <c r="G99" s="371">
        <f t="shared" si="6"/>
        <v>59961.520000000004</v>
      </c>
      <c r="H99" s="371">
        <f>H100+H111+H112+H115+H120+H124+H127+H128+H129+H130+H131+H132+H133+H134+H135</f>
        <v>11879.780000000002</v>
      </c>
      <c r="I99" s="371">
        <f>I100+I111+I112+I115+I120+I124+I127+I128+I129+I130+I131+I132+I133+I134+I135</f>
        <v>9860.96</v>
      </c>
      <c r="J99" s="371">
        <f>J100+J111+J112+J115+J120+J124+J127+J128+J129+J130+J131+J132+J133+J134+J135</f>
        <v>18305.899999999998</v>
      </c>
      <c r="K99" s="371">
        <f>K100+K111+K112+K115+K120+K124+K127+K128+K129+K130+K131+K132+K133+K134+K135</f>
        <v>19914.88</v>
      </c>
      <c r="L99" s="21"/>
      <c r="M99" s="21"/>
    </row>
    <row r="100" spans="1:14" ht="12.75">
      <c r="A100" s="367">
        <f t="shared" si="7"/>
        <v>85</v>
      </c>
      <c r="B100" s="368"/>
      <c r="C100" s="377" t="s">
        <v>47</v>
      </c>
      <c r="D100" s="369"/>
      <c r="E100" s="370" t="s">
        <v>130</v>
      </c>
      <c r="F100" s="371">
        <f>SUM(F101:F110)</f>
        <v>0</v>
      </c>
      <c r="G100" s="371">
        <f t="shared" si="6"/>
        <v>17577.16</v>
      </c>
      <c r="H100" s="371">
        <f>SUM(H101:H110)</f>
        <v>3305.7899999999995</v>
      </c>
      <c r="I100" s="371">
        <f>SUM(I101:I110)</f>
        <v>3147.1499999999996</v>
      </c>
      <c r="J100" s="371">
        <f>SUM(J101:J110)</f>
        <v>3626.53</v>
      </c>
      <c r="K100" s="371">
        <f>SUM(K101:K110)</f>
        <v>7497.69</v>
      </c>
      <c r="L100" s="21"/>
      <c r="M100" s="21"/>
      <c r="N100" s="21"/>
    </row>
    <row r="101" spans="1:14" ht="12.75">
      <c r="A101" s="367">
        <f t="shared" si="7"/>
        <v>86</v>
      </c>
      <c r="B101" s="368"/>
      <c r="C101" s="368"/>
      <c r="D101" s="379" t="s">
        <v>47</v>
      </c>
      <c r="E101" s="66" t="s">
        <v>186</v>
      </c>
      <c r="F101" s="79">
        <f aca="true" t="shared" si="13" ref="F101:F110">+F217+F333+F565+F449</f>
        <v>0</v>
      </c>
      <c r="G101" s="79">
        <f t="shared" si="6"/>
        <v>328.24</v>
      </c>
      <c r="H101" s="79">
        <f aca="true" t="shared" si="14" ref="H101:K110">+H217+H333+H565+H449</f>
        <v>76.86</v>
      </c>
      <c r="I101" s="79">
        <f t="shared" si="14"/>
        <v>70.85</v>
      </c>
      <c r="J101" s="79">
        <f t="shared" si="14"/>
        <v>92.80999999999999</v>
      </c>
      <c r="K101" s="79">
        <f t="shared" si="14"/>
        <v>87.72</v>
      </c>
      <c r="L101" s="21"/>
      <c r="M101" s="21"/>
      <c r="N101" s="21"/>
    </row>
    <row r="102" spans="1:14" ht="12.75">
      <c r="A102" s="367">
        <f t="shared" si="7"/>
        <v>87</v>
      </c>
      <c r="B102" s="368"/>
      <c r="C102" s="368"/>
      <c r="D102" s="379" t="s">
        <v>80</v>
      </c>
      <c r="E102" s="66" t="s">
        <v>187</v>
      </c>
      <c r="F102" s="79">
        <f t="shared" si="13"/>
        <v>0</v>
      </c>
      <c r="G102" s="79">
        <f t="shared" si="6"/>
        <v>395.95</v>
      </c>
      <c r="H102" s="79">
        <f t="shared" si="14"/>
        <v>92.82000000000001</v>
      </c>
      <c r="I102" s="79">
        <f t="shared" si="14"/>
        <v>108.09</v>
      </c>
      <c r="J102" s="79">
        <f t="shared" si="14"/>
        <v>102.97999999999999</v>
      </c>
      <c r="K102" s="79">
        <f t="shared" si="14"/>
        <v>92.06</v>
      </c>
      <c r="L102" s="21"/>
      <c r="M102" s="21"/>
      <c r="N102" s="21"/>
    </row>
    <row r="103" spans="1:14" ht="12.75">
      <c r="A103" s="367">
        <f t="shared" si="7"/>
        <v>88</v>
      </c>
      <c r="B103" s="368"/>
      <c r="C103" s="368"/>
      <c r="D103" s="379" t="s">
        <v>84</v>
      </c>
      <c r="E103" s="66" t="s">
        <v>188</v>
      </c>
      <c r="F103" s="79">
        <f t="shared" si="13"/>
        <v>0</v>
      </c>
      <c r="G103" s="79">
        <f t="shared" si="6"/>
        <v>4552.04</v>
      </c>
      <c r="H103" s="79">
        <f t="shared" si="14"/>
        <v>832.88</v>
      </c>
      <c r="I103" s="79">
        <f t="shared" si="14"/>
        <v>739.99</v>
      </c>
      <c r="J103" s="79">
        <f t="shared" si="14"/>
        <v>832.88</v>
      </c>
      <c r="K103" s="79">
        <f t="shared" si="14"/>
        <v>2146.29</v>
      </c>
      <c r="L103" s="21"/>
      <c r="M103" s="21"/>
      <c r="N103" s="21"/>
    </row>
    <row r="104" spans="1:14" ht="12.75">
      <c r="A104" s="367">
        <f t="shared" si="7"/>
        <v>89</v>
      </c>
      <c r="B104" s="368"/>
      <c r="C104" s="368"/>
      <c r="D104" s="379" t="s">
        <v>108</v>
      </c>
      <c r="E104" s="66" t="s">
        <v>189</v>
      </c>
      <c r="F104" s="79">
        <f t="shared" si="13"/>
        <v>0</v>
      </c>
      <c r="G104" s="79">
        <f t="shared" si="6"/>
        <v>1660.3400000000001</v>
      </c>
      <c r="H104" s="79">
        <f t="shared" si="14"/>
        <v>428.12</v>
      </c>
      <c r="I104" s="79">
        <f t="shared" si="14"/>
        <v>303.12</v>
      </c>
      <c r="J104" s="79">
        <f t="shared" si="14"/>
        <v>428.12</v>
      </c>
      <c r="K104" s="79">
        <f t="shared" si="14"/>
        <v>500.98</v>
      </c>
      <c r="L104" s="21"/>
      <c r="M104" s="21"/>
      <c r="N104" s="21"/>
    </row>
    <row r="105" spans="1:14" ht="12.75">
      <c r="A105" s="367">
        <f t="shared" si="7"/>
        <v>90</v>
      </c>
      <c r="B105" s="368"/>
      <c r="C105" s="368"/>
      <c r="D105" s="379" t="s">
        <v>41</v>
      </c>
      <c r="E105" s="66" t="s">
        <v>190</v>
      </c>
      <c r="F105" s="79">
        <f t="shared" si="13"/>
        <v>0</v>
      </c>
      <c r="G105" s="79">
        <f t="shared" si="6"/>
        <v>100</v>
      </c>
      <c r="H105" s="79">
        <f t="shared" si="14"/>
        <v>25</v>
      </c>
      <c r="I105" s="79">
        <f t="shared" si="14"/>
        <v>25</v>
      </c>
      <c r="J105" s="79">
        <f t="shared" si="14"/>
        <v>25</v>
      </c>
      <c r="K105" s="79">
        <f t="shared" si="14"/>
        <v>25</v>
      </c>
      <c r="L105" s="21"/>
      <c r="M105" s="21"/>
      <c r="N105" s="21"/>
    </row>
    <row r="106" spans="1:14" ht="12.75">
      <c r="A106" s="367">
        <f t="shared" si="7"/>
        <v>91</v>
      </c>
      <c r="B106" s="368"/>
      <c r="C106" s="368"/>
      <c r="D106" s="379" t="s">
        <v>154</v>
      </c>
      <c r="E106" s="66" t="s">
        <v>191</v>
      </c>
      <c r="F106" s="79">
        <f t="shared" si="13"/>
        <v>0</v>
      </c>
      <c r="G106" s="79">
        <f t="shared" si="6"/>
        <v>1097.77</v>
      </c>
      <c r="H106" s="79">
        <f t="shared" si="14"/>
        <v>209.94</v>
      </c>
      <c r="I106" s="79">
        <f t="shared" si="14"/>
        <v>170.04000000000002</v>
      </c>
      <c r="J106" s="79">
        <f t="shared" si="14"/>
        <v>409.70000000000005</v>
      </c>
      <c r="K106" s="79">
        <f t="shared" si="14"/>
        <v>308.09</v>
      </c>
      <c r="L106" s="21"/>
      <c r="M106" s="21"/>
      <c r="N106" s="21"/>
    </row>
    <row r="107" spans="1:14" ht="12.75">
      <c r="A107" s="367">
        <f t="shared" si="7"/>
        <v>92</v>
      </c>
      <c r="B107" s="368"/>
      <c r="C107" s="368"/>
      <c r="D107" s="379" t="s">
        <v>157</v>
      </c>
      <c r="E107" s="66" t="s">
        <v>192</v>
      </c>
      <c r="F107" s="79">
        <f t="shared" si="13"/>
        <v>0</v>
      </c>
      <c r="G107" s="79">
        <f t="shared" si="6"/>
        <v>295.71000000000004</v>
      </c>
      <c r="H107" s="79">
        <f t="shared" si="14"/>
        <v>79.31</v>
      </c>
      <c r="I107" s="79">
        <f t="shared" si="14"/>
        <v>59.31</v>
      </c>
      <c r="J107" s="79">
        <f t="shared" si="14"/>
        <v>79.31</v>
      </c>
      <c r="K107" s="79">
        <f t="shared" si="14"/>
        <v>77.78</v>
      </c>
      <c r="L107" s="21"/>
      <c r="M107" s="21"/>
      <c r="N107" s="21"/>
    </row>
    <row r="108" spans="1:14" ht="12.75">
      <c r="A108" s="367">
        <f t="shared" si="7"/>
        <v>93</v>
      </c>
      <c r="B108" s="368"/>
      <c r="C108" s="368"/>
      <c r="D108" s="379" t="s">
        <v>65</v>
      </c>
      <c r="E108" s="66" t="s">
        <v>193</v>
      </c>
      <c r="F108" s="79">
        <f t="shared" si="13"/>
        <v>0</v>
      </c>
      <c r="G108" s="79">
        <f t="shared" si="6"/>
        <v>272.03999999999996</v>
      </c>
      <c r="H108" s="79">
        <f t="shared" si="14"/>
        <v>138.01</v>
      </c>
      <c r="I108" s="79">
        <f t="shared" si="14"/>
        <v>28.00999999999999</v>
      </c>
      <c r="J108" s="79">
        <f t="shared" si="14"/>
        <v>138.01</v>
      </c>
      <c r="K108" s="79">
        <f t="shared" si="14"/>
        <v>-31.99000000000001</v>
      </c>
      <c r="L108" s="21"/>
      <c r="M108" s="21"/>
      <c r="N108" s="21"/>
    </row>
    <row r="109" spans="1:14" ht="12.75">
      <c r="A109" s="367">
        <f t="shared" si="7"/>
        <v>94</v>
      </c>
      <c r="B109" s="368"/>
      <c r="C109" s="368"/>
      <c r="D109" s="379" t="s">
        <v>160</v>
      </c>
      <c r="E109" s="66" t="s">
        <v>194</v>
      </c>
      <c r="F109" s="79">
        <f t="shared" si="13"/>
        <v>0</v>
      </c>
      <c r="G109" s="79">
        <f t="shared" si="6"/>
        <v>198.96</v>
      </c>
      <c r="H109" s="79">
        <f t="shared" si="14"/>
        <v>50.24</v>
      </c>
      <c r="I109" s="79">
        <f t="shared" si="14"/>
        <v>42.28</v>
      </c>
      <c r="J109" s="79">
        <f t="shared" si="14"/>
        <v>46.78</v>
      </c>
      <c r="K109" s="79">
        <f t="shared" si="14"/>
        <v>59.660000000000004</v>
      </c>
      <c r="L109" s="21"/>
      <c r="M109" s="21"/>
      <c r="N109" s="21"/>
    </row>
    <row r="110" spans="1:14" ht="12.75">
      <c r="A110" s="367">
        <f t="shared" si="7"/>
        <v>95</v>
      </c>
      <c r="B110" s="368"/>
      <c r="C110" s="368"/>
      <c r="D110" s="369">
        <v>30</v>
      </c>
      <c r="E110" s="66" t="s">
        <v>195</v>
      </c>
      <c r="F110" s="79">
        <f t="shared" si="13"/>
        <v>0</v>
      </c>
      <c r="G110" s="79">
        <f t="shared" si="6"/>
        <v>8676.11</v>
      </c>
      <c r="H110" s="79">
        <f t="shared" si="14"/>
        <v>1372.6099999999997</v>
      </c>
      <c r="I110" s="79">
        <f t="shared" si="14"/>
        <v>1600.4599999999998</v>
      </c>
      <c r="J110" s="79">
        <f t="shared" si="14"/>
        <v>1470.94</v>
      </c>
      <c r="K110" s="79">
        <f t="shared" si="14"/>
        <v>4232.099999999999</v>
      </c>
      <c r="L110" s="21"/>
      <c r="M110" s="21"/>
      <c r="N110" s="21"/>
    </row>
    <row r="111" spans="1:14" ht="12.75">
      <c r="A111" s="367">
        <f t="shared" si="7"/>
        <v>96</v>
      </c>
      <c r="B111" s="368"/>
      <c r="C111" s="377" t="s">
        <v>80</v>
      </c>
      <c r="D111" s="369"/>
      <c r="E111" s="370" t="s">
        <v>196</v>
      </c>
      <c r="F111" s="371">
        <f>+F227+F343+F459+F575</f>
        <v>0</v>
      </c>
      <c r="G111" s="371">
        <f t="shared" si="6"/>
        <v>1466.96</v>
      </c>
      <c r="H111" s="371">
        <f>+H227+H343+H459+H575</f>
        <v>299.94</v>
      </c>
      <c r="I111" s="371">
        <f>+I227+I343+I459+I575</f>
        <v>402.76</v>
      </c>
      <c r="J111" s="371">
        <f>+J227+J343+J459+J575</f>
        <v>505.08</v>
      </c>
      <c r="K111" s="378">
        <f>+K227+K343+K459+K575</f>
        <v>259.18</v>
      </c>
      <c r="L111" s="21"/>
      <c r="M111" s="21"/>
      <c r="N111" s="21"/>
    </row>
    <row r="112" spans="1:14" ht="12.75">
      <c r="A112" s="367">
        <f t="shared" si="7"/>
        <v>97</v>
      </c>
      <c r="B112" s="368"/>
      <c r="C112" s="377" t="s">
        <v>84</v>
      </c>
      <c r="D112" s="369"/>
      <c r="E112" s="370" t="s">
        <v>197</v>
      </c>
      <c r="F112" s="371">
        <f>F113+F114</f>
        <v>0</v>
      </c>
      <c r="G112" s="371">
        <f t="shared" si="6"/>
        <v>4293.35</v>
      </c>
      <c r="H112" s="371">
        <f>H113+H114</f>
        <v>414.45000000000005</v>
      </c>
      <c r="I112" s="371">
        <f>I113+I114</f>
        <v>614.45</v>
      </c>
      <c r="J112" s="371">
        <f>J113+J114</f>
        <v>914.45</v>
      </c>
      <c r="K112" s="371">
        <f>K113+K114</f>
        <v>2350</v>
      </c>
      <c r="L112" s="21"/>
      <c r="M112" s="21"/>
      <c r="N112" s="21"/>
    </row>
    <row r="113" spans="1:14" ht="12.75">
      <c r="A113" s="367">
        <f t="shared" si="7"/>
        <v>98</v>
      </c>
      <c r="B113" s="368"/>
      <c r="C113" s="368"/>
      <c r="D113" s="379" t="s">
        <v>47</v>
      </c>
      <c r="E113" s="66" t="s">
        <v>198</v>
      </c>
      <c r="F113" s="79">
        <f>+F229+F345+F577+F461</f>
        <v>0</v>
      </c>
      <c r="G113" s="79">
        <f t="shared" si="6"/>
        <v>4293.35</v>
      </c>
      <c r="H113" s="79">
        <f aca="true" t="shared" si="15" ref="H113:K114">+H229+H345+H577+H461</f>
        <v>414.45000000000005</v>
      </c>
      <c r="I113" s="79">
        <f t="shared" si="15"/>
        <v>614.45</v>
      </c>
      <c r="J113" s="79">
        <f t="shared" si="15"/>
        <v>914.45</v>
      </c>
      <c r="K113" s="79">
        <f t="shared" si="15"/>
        <v>2350</v>
      </c>
      <c r="L113" s="21"/>
      <c r="M113" s="21"/>
      <c r="N113" s="21"/>
    </row>
    <row r="114" spans="1:14" ht="12.75">
      <c r="A114" s="367">
        <f t="shared" si="7"/>
        <v>99</v>
      </c>
      <c r="B114" s="368"/>
      <c r="C114" s="368"/>
      <c r="D114" s="379" t="s">
        <v>80</v>
      </c>
      <c r="E114" s="66" t="s">
        <v>199</v>
      </c>
      <c r="F114" s="79">
        <f>+F230+F346+F578+F462</f>
        <v>0</v>
      </c>
      <c r="G114" s="79">
        <f t="shared" si="6"/>
        <v>0</v>
      </c>
      <c r="H114" s="79">
        <f t="shared" si="15"/>
        <v>0</v>
      </c>
      <c r="I114" s="79">
        <f t="shared" si="15"/>
        <v>0</v>
      </c>
      <c r="J114" s="79">
        <f t="shared" si="15"/>
        <v>0</v>
      </c>
      <c r="K114" s="79">
        <f t="shared" si="15"/>
        <v>0</v>
      </c>
      <c r="L114" s="21"/>
      <c r="M114" s="21"/>
      <c r="N114" s="21"/>
    </row>
    <row r="115" spans="1:14" ht="12.75">
      <c r="A115" s="367">
        <f t="shared" si="7"/>
        <v>100</v>
      </c>
      <c r="B115" s="368"/>
      <c r="C115" s="377" t="s">
        <v>108</v>
      </c>
      <c r="D115" s="369"/>
      <c r="E115" s="370" t="s">
        <v>200</v>
      </c>
      <c r="F115" s="371">
        <f>+F231+F347+F463+F579</f>
        <v>0</v>
      </c>
      <c r="G115" s="371">
        <f t="shared" si="6"/>
        <v>34433.89</v>
      </c>
      <c r="H115" s="371">
        <f>+H231+H347+H463+H579</f>
        <v>7427.1100000000015</v>
      </c>
      <c r="I115" s="371">
        <f>+I231+I347+I463+I579</f>
        <v>5550.97</v>
      </c>
      <c r="J115" s="371">
        <f>+J231+J347+J463+J579</f>
        <v>12349.849999999999</v>
      </c>
      <c r="K115" s="378">
        <f>+K231+K347+K463+K579</f>
        <v>9105.960000000001</v>
      </c>
      <c r="L115" s="21"/>
      <c r="M115" s="21"/>
      <c r="N115" s="21"/>
    </row>
    <row r="116" spans="1:14" ht="12.75">
      <c r="A116" s="367">
        <f t="shared" si="7"/>
        <v>101</v>
      </c>
      <c r="B116" s="368"/>
      <c r="C116" s="368"/>
      <c r="D116" s="379" t="s">
        <v>47</v>
      </c>
      <c r="E116" s="66" t="s">
        <v>201</v>
      </c>
      <c r="F116" s="79">
        <f>+F232+F348+F580+F464</f>
        <v>0</v>
      </c>
      <c r="G116" s="79">
        <f t="shared" si="6"/>
        <v>20086.63</v>
      </c>
      <c r="H116" s="79">
        <f aca="true" t="shared" si="16" ref="H116:K119">+H232+H348+H580+H464</f>
        <v>3119.8599999999997</v>
      </c>
      <c r="I116" s="79">
        <f t="shared" si="16"/>
        <v>3522.9900000000002</v>
      </c>
      <c r="J116" s="79">
        <f t="shared" si="16"/>
        <v>9015.67</v>
      </c>
      <c r="K116" s="79">
        <f t="shared" si="16"/>
        <v>4428.110000000001</v>
      </c>
      <c r="L116" s="21"/>
      <c r="M116" s="21"/>
      <c r="N116" s="21"/>
    </row>
    <row r="117" spans="1:14" ht="12.75">
      <c r="A117" s="367">
        <f t="shared" si="7"/>
        <v>102</v>
      </c>
      <c r="B117" s="368"/>
      <c r="C117" s="368"/>
      <c r="D117" s="379" t="s">
        <v>80</v>
      </c>
      <c r="E117" s="66" t="s">
        <v>202</v>
      </c>
      <c r="F117" s="79">
        <f>+F233+F349+F581+F465</f>
        <v>0</v>
      </c>
      <c r="G117" s="79">
        <f t="shared" si="6"/>
        <v>8900.980000000001</v>
      </c>
      <c r="H117" s="79">
        <f t="shared" si="16"/>
        <v>3081.67</v>
      </c>
      <c r="I117" s="79">
        <f t="shared" si="16"/>
        <v>1282.44</v>
      </c>
      <c r="J117" s="79">
        <f t="shared" si="16"/>
        <v>1973.8500000000001</v>
      </c>
      <c r="K117" s="79">
        <f t="shared" si="16"/>
        <v>2563.02</v>
      </c>
      <c r="L117" s="21"/>
      <c r="M117" s="21"/>
      <c r="N117" s="21"/>
    </row>
    <row r="118" spans="1:14" ht="12.75">
      <c r="A118" s="367">
        <f t="shared" si="7"/>
        <v>103</v>
      </c>
      <c r="B118" s="368"/>
      <c r="C118" s="368"/>
      <c r="D118" s="379" t="s">
        <v>84</v>
      </c>
      <c r="E118" s="66" t="s">
        <v>203</v>
      </c>
      <c r="F118" s="79">
        <f>+F234+F350+F582+F466</f>
        <v>0</v>
      </c>
      <c r="G118" s="79">
        <f t="shared" si="6"/>
        <v>4721.99</v>
      </c>
      <c r="H118" s="79">
        <f t="shared" si="16"/>
        <v>1045.27</v>
      </c>
      <c r="I118" s="79">
        <f t="shared" si="16"/>
        <v>570.87</v>
      </c>
      <c r="J118" s="79">
        <f t="shared" si="16"/>
        <v>1181.02</v>
      </c>
      <c r="K118" s="79">
        <f t="shared" si="16"/>
        <v>1924.83</v>
      </c>
      <c r="L118" s="21"/>
      <c r="M118" s="21"/>
      <c r="N118" s="21"/>
    </row>
    <row r="119" spans="1:14" ht="12.75">
      <c r="A119" s="367">
        <f t="shared" si="7"/>
        <v>104</v>
      </c>
      <c r="B119" s="368"/>
      <c r="C119" s="368"/>
      <c r="D119" s="379" t="s">
        <v>108</v>
      </c>
      <c r="E119" s="66" t="s">
        <v>204</v>
      </c>
      <c r="F119" s="79">
        <f>+F235+F351+F583+F467</f>
        <v>0</v>
      </c>
      <c r="G119" s="79">
        <f t="shared" si="6"/>
        <v>724.29</v>
      </c>
      <c r="H119" s="79">
        <f t="shared" si="16"/>
        <v>180.30999999999997</v>
      </c>
      <c r="I119" s="79">
        <f t="shared" si="16"/>
        <v>174.67</v>
      </c>
      <c r="J119" s="79">
        <f t="shared" si="16"/>
        <v>179.30999999999997</v>
      </c>
      <c r="K119" s="79">
        <f t="shared" si="16"/>
        <v>190</v>
      </c>
      <c r="L119" s="21"/>
      <c r="M119" s="21"/>
      <c r="N119" s="21"/>
    </row>
    <row r="120" spans="1:14" ht="12.75">
      <c r="A120" s="367">
        <f t="shared" si="7"/>
        <v>105</v>
      </c>
      <c r="B120" s="368"/>
      <c r="C120" s="377" t="s">
        <v>41</v>
      </c>
      <c r="D120" s="369"/>
      <c r="E120" s="370" t="s">
        <v>205</v>
      </c>
      <c r="F120" s="371">
        <f>F121+F122+F123</f>
        <v>0</v>
      </c>
      <c r="G120" s="371">
        <f t="shared" si="6"/>
        <v>916.5300000000001</v>
      </c>
      <c r="H120" s="371">
        <f>H121+H122+H123</f>
        <v>338.79</v>
      </c>
      <c r="I120" s="371">
        <f>I121+I122+I123</f>
        <v>22.98</v>
      </c>
      <c r="J120" s="371">
        <f>J121+J122+J123</f>
        <v>711.86</v>
      </c>
      <c r="K120" s="371">
        <f>K121+K122+K123</f>
        <v>-157.10000000000002</v>
      </c>
      <c r="L120" s="21"/>
      <c r="M120" s="21"/>
      <c r="N120" s="21"/>
    </row>
    <row r="121" spans="1:14" ht="12.75">
      <c r="A121" s="367">
        <f t="shared" si="7"/>
        <v>106</v>
      </c>
      <c r="B121" s="368"/>
      <c r="C121" s="368"/>
      <c r="D121" s="379" t="s">
        <v>47</v>
      </c>
      <c r="E121" s="66" t="s">
        <v>206</v>
      </c>
      <c r="F121" s="79">
        <f>+F237+F353+F585+F469</f>
        <v>0</v>
      </c>
      <c r="G121" s="79">
        <f t="shared" si="6"/>
        <v>77.71000000000001</v>
      </c>
      <c r="H121" s="79">
        <f aca="true" t="shared" si="17" ref="H121:K123">+H237+H353+H585+H469</f>
        <v>1.57</v>
      </c>
      <c r="I121" s="79">
        <f t="shared" si="17"/>
        <v>8.57</v>
      </c>
      <c r="J121" s="79">
        <f t="shared" si="17"/>
        <v>32.57</v>
      </c>
      <c r="K121" s="79">
        <f t="shared" si="17"/>
        <v>35</v>
      </c>
      <c r="L121" s="21"/>
      <c r="M121" s="21"/>
      <c r="N121" s="21"/>
    </row>
    <row r="122" spans="1:14" ht="12.75">
      <c r="A122" s="367">
        <f t="shared" si="7"/>
        <v>107</v>
      </c>
      <c r="B122" s="368"/>
      <c r="C122" s="368"/>
      <c r="D122" s="379" t="s">
        <v>84</v>
      </c>
      <c r="E122" s="66" t="s">
        <v>207</v>
      </c>
      <c r="F122" s="79">
        <f>+F238+F354+F586+F470</f>
        <v>0</v>
      </c>
      <c r="G122" s="79">
        <f t="shared" si="6"/>
        <v>116.33</v>
      </c>
      <c r="H122" s="79">
        <f t="shared" si="17"/>
        <v>6.34</v>
      </c>
      <c r="I122" s="79">
        <f t="shared" si="17"/>
        <v>6.34</v>
      </c>
      <c r="J122" s="79">
        <f t="shared" si="17"/>
        <v>28.34</v>
      </c>
      <c r="K122" s="79">
        <f t="shared" si="17"/>
        <v>75.31</v>
      </c>
      <c r="L122" s="21"/>
      <c r="M122" s="21"/>
      <c r="N122" s="21"/>
    </row>
    <row r="123" spans="1:14" ht="12.75">
      <c r="A123" s="367">
        <f t="shared" si="7"/>
        <v>108</v>
      </c>
      <c r="B123" s="368"/>
      <c r="C123" s="368"/>
      <c r="D123" s="369">
        <v>30</v>
      </c>
      <c r="E123" s="66" t="s">
        <v>208</v>
      </c>
      <c r="F123" s="79">
        <f>+F239+F355+F587+F471</f>
        <v>0</v>
      </c>
      <c r="G123" s="79">
        <f t="shared" si="6"/>
        <v>722.49</v>
      </c>
      <c r="H123" s="79">
        <f t="shared" si="17"/>
        <v>330.88</v>
      </c>
      <c r="I123" s="79">
        <f t="shared" si="17"/>
        <v>8.07</v>
      </c>
      <c r="J123" s="79">
        <f t="shared" si="17"/>
        <v>650.95</v>
      </c>
      <c r="K123" s="79">
        <f t="shared" si="17"/>
        <v>-267.41</v>
      </c>
      <c r="L123" s="21"/>
      <c r="M123" s="21"/>
      <c r="N123" s="21"/>
    </row>
    <row r="124" spans="1:14" ht="12.75">
      <c r="A124" s="367">
        <f t="shared" si="7"/>
        <v>109</v>
      </c>
      <c r="B124" s="368"/>
      <c r="C124" s="377" t="s">
        <v>154</v>
      </c>
      <c r="D124" s="369"/>
      <c r="E124" s="370" t="s">
        <v>209</v>
      </c>
      <c r="F124" s="371">
        <f>F125+F126</f>
        <v>0</v>
      </c>
      <c r="G124" s="371">
        <f t="shared" si="6"/>
        <v>45.11</v>
      </c>
      <c r="H124" s="371">
        <f>H125+H126</f>
        <v>6</v>
      </c>
      <c r="I124" s="371">
        <f>I125+I126</f>
        <v>8.21</v>
      </c>
      <c r="J124" s="371">
        <f>J125+J126</f>
        <v>17.69</v>
      </c>
      <c r="K124" s="371">
        <f>K125+K126</f>
        <v>13.21</v>
      </c>
      <c r="L124" s="21"/>
      <c r="M124" s="21"/>
      <c r="N124" s="21"/>
    </row>
    <row r="125" spans="1:14" ht="12.75">
      <c r="A125" s="367">
        <f t="shared" si="7"/>
        <v>110</v>
      </c>
      <c r="B125" s="368"/>
      <c r="C125" s="368"/>
      <c r="D125" s="379" t="s">
        <v>47</v>
      </c>
      <c r="E125" s="66" t="s">
        <v>210</v>
      </c>
      <c r="F125" s="79">
        <f>+F241+F357+F589+F473</f>
        <v>0</v>
      </c>
      <c r="G125" s="79">
        <f t="shared" si="6"/>
        <v>32.269999999999996</v>
      </c>
      <c r="H125" s="79">
        <f aca="true" t="shared" si="18" ref="H125:K126">+H241+H357+H589+H473</f>
        <v>2.79</v>
      </c>
      <c r="I125" s="79">
        <f t="shared" si="18"/>
        <v>5</v>
      </c>
      <c r="J125" s="79">
        <f t="shared" si="18"/>
        <v>14.48</v>
      </c>
      <c r="K125" s="79">
        <f t="shared" si="18"/>
        <v>10</v>
      </c>
      <c r="L125" s="21"/>
      <c r="M125" s="21"/>
      <c r="N125" s="21"/>
    </row>
    <row r="126" spans="1:14" ht="12.75">
      <c r="A126" s="367">
        <f t="shared" si="7"/>
        <v>111</v>
      </c>
      <c r="B126" s="368"/>
      <c r="C126" s="368"/>
      <c r="D126" s="379" t="s">
        <v>80</v>
      </c>
      <c r="E126" s="66" t="s">
        <v>211</v>
      </c>
      <c r="F126" s="79">
        <f>+F242+F358+F590+F474</f>
        <v>0</v>
      </c>
      <c r="G126" s="79">
        <f t="shared" si="6"/>
        <v>12.84</v>
      </c>
      <c r="H126" s="79">
        <f t="shared" si="18"/>
        <v>3.21</v>
      </c>
      <c r="I126" s="79">
        <f t="shared" si="18"/>
        <v>3.21</v>
      </c>
      <c r="J126" s="79">
        <f t="shared" si="18"/>
        <v>3.21</v>
      </c>
      <c r="K126" s="79">
        <f t="shared" si="18"/>
        <v>3.21</v>
      </c>
      <c r="L126" s="21"/>
      <c r="M126" s="21"/>
      <c r="N126" s="21"/>
    </row>
    <row r="127" spans="1:14" ht="12.75">
      <c r="A127" s="367">
        <f t="shared" si="7"/>
        <v>112</v>
      </c>
      <c r="B127" s="368"/>
      <c r="C127" s="377" t="s">
        <v>160</v>
      </c>
      <c r="D127" s="369"/>
      <c r="E127" s="370" t="s">
        <v>212</v>
      </c>
      <c r="F127" s="371">
        <f aca="true" t="shared" si="19" ref="F127:F134">+F243+F359+F475+F591</f>
        <v>0</v>
      </c>
      <c r="G127" s="371">
        <f aca="true" t="shared" si="20" ref="G127:G190">H127+I127+J127+K127</f>
        <v>471.95</v>
      </c>
      <c r="H127" s="371">
        <f aca="true" t="shared" si="21" ref="H127:K134">+H243+H359+H475+H591</f>
        <v>71.67</v>
      </c>
      <c r="I127" s="371">
        <f t="shared" si="21"/>
        <v>71.67</v>
      </c>
      <c r="J127" s="371">
        <f t="shared" si="21"/>
        <v>111.67</v>
      </c>
      <c r="K127" s="378">
        <f t="shared" si="21"/>
        <v>216.94</v>
      </c>
      <c r="L127" s="21"/>
      <c r="M127" s="21"/>
      <c r="N127" s="21"/>
    </row>
    <row r="128" spans="1:13" ht="12.75">
      <c r="A128" s="367">
        <f t="shared" si="7"/>
        <v>113</v>
      </c>
      <c r="B128" s="368"/>
      <c r="C128" s="368">
        <v>10</v>
      </c>
      <c r="D128" s="369"/>
      <c r="E128" s="370" t="s">
        <v>213</v>
      </c>
      <c r="F128" s="371">
        <f t="shared" si="19"/>
        <v>0</v>
      </c>
      <c r="G128" s="371">
        <f t="shared" si="20"/>
        <v>0</v>
      </c>
      <c r="H128" s="371">
        <f t="shared" si="21"/>
        <v>0</v>
      </c>
      <c r="I128" s="371">
        <f t="shared" si="21"/>
        <v>0</v>
      </c>
      <c r="J128" s="371">
        <f t="shared" si="21"/>
        <v>0</v>
      </c>
      <c r="K128" s="378">
        <f t="shared" si="21"/>
        <v>0</v>
      </c>
      <c r="L128" s="21"/>
      <c r="M128" s="21"/>
    </row>
    <row r="129" spans="1:14" ht="12.75">
      <c r="A129" s="367">
        <f aca="true" t="shared" si="22" ref="A129:A164">A128+1</f>
        <v>114</v>
      </c>
      <c r="B129" s="368"/>
      <c r="C129" s="368">
        <v>11</v>
      </c>
      <c r="D129" s="369"/>
      <c r="E129" s="370" t="s">
        <v>214</v>
      </c>
      <c r="F129" s="371">
        <f t="shared" si="19"/>
        <v>0</v>
      </c>
      <c r="G129" s="371">
        <f t="shared" si="20"/>
        <v>3.33</v>
      </c>
      <c r="H129" s="371">
        <f t="shared" si="21"/>
        <v>1.11</v>
      </c>
      <c r="I129" s="371">
        <f t="shared" si="21"/>
        <v>1.11</v>
      </c>
      <c r="J129" s="371">
        <f t="shared" si="21"/>
        <v>1.11</v>
      </c>
      <c r="K129" s="378">
        <f t="shared" si="21"/>
        <v>0</v>
      </c>
      <c r="L129" s="21"/>
      <c r="M129" s="21"/>
      <c r="N129" s="21"/>
    </row>
    <row r="130" spans="1:13" ht="12.75">
      <c r="A130" s="367">
        <f t="shared" si="22"/>
        <v>115</v>
      </c>
      <c r="B130" s="368"/>
      <c r="C130" s="368">
        <v>12</v>
      </c>
      <c r="D130" s="369"/>
      <c r="E130" s="370" t="s">
        <v>215</v>
      </c>
      <c r="F130" s="371">
        <f t="shared" si="19"/>
        <v>0</v>
      </c>
      <c r="G130" s="371">
        <f t="shared" si="20"/>
        <v>0</v>
      </c>
      <c r="H130" s="371">
        <f t="shared" si="21"/>
        <v>0</v>
      </c>
      <c r="I130" s="371">
        <f t="shared" si="21"/>
        <v>0</v>
      </c>
      <c r="J130" s="371">
        <f t="shared" si="21"/>
        <v>0</v>
      </c>
      <c r="K130" s="378">
        <f t="shared" si="21"/>
        <v>0</v>
      </c>
      <c r="L130" s="21"/>
      <c r="M130" s="21"/>
    </row>
    <row r="131" spans="1:13" ht="12.75">
      <c r="A131" s="367">
        <f t="shared" si="22"/>
        <v>116</v>
      </c>
      <c r="B131" s="368"/>
      <c r="C131" s="368">
        <v>13</v>
      </c>
      <c r="D131" s="369"/>
      <c r="E131" s="370" t="s">
        <v>216</v>
      </c>
      <c r="F131" s="371">
        <f t="shared" si="19"/>
        <v>0</v>
      </c>
      <c r="G131" s="371">
        <f t="shared" si="20"/>
        <v>24</v>
      </c>
      <c r="H131" s="371">
        <f t="shared" si="21"/>
        <v>0</v>
      </c>
      <c r="I131" s="371">
        <f t="shared" si="21"/>
        <v>8</v>
      </c>
      <c r="J131" s="371">
        <f t="shared" si="21"/>
        <v>8</v>
      </c>
      <c r="K131" s="378">
        <f t="shared" si="21"/>
        <v>8</v>
      </c>
      <c r="L131" s="21"/>
      <c r="M131" s="21"/>
    </row>
    <row r="132" spans="1:13" ht="12.75">
      <c r="A132" s="367">
        <f t="shared" si="22"/>
        <v>117</v>
      </c>
      <c r="B132" s="368"/>
      <c r="C132" s="368">
        <v>14</v>
      </c>
      <c r="D132" s="369"/>
      <c r="E132" s="370" t="s">
        <v>217</v>
      </c>
      <c r="F132" s="371">
        <f t="shared" si="19"/>
        <v>0</v>
      </c>
      <c r="G132" s="371">
        <f t="shared" si="20"/>
        <v>0</v>
      </c>
      <c r="H132" s="371">
        <f t="shared" si="21"/>
        <v>0</v>
      </c>
      <c r="I132" s="371">
        <f t="shared" si="21"/>
        <v>0</v>
      </c>
      <c r="J132" s="371">
        <f t="shared" si="21"/>
        <v>0</v>
      </c>
      <c r="K132" s="378">
        <f t="shared" si="21"/>
        <v>0</v>
      </c>
      <c r="L132" s="21"/>
      <c r="M132" s="21"/>
    </row>
    <row r="133" spans="1:13" ht="12.75">
      <c r="A133" s="367">
        <f t="shared" si="22"/>
        <v>118</v>
      </c>
      <c r="B133" s="368"/>
      <c r="C133" s="368">
        <v>25</v>
      </c>
      <c r="D133" s="369"/>
      <c r="E133" s="370" t="s">
        <v>218</v>
      </c>
      <c r="F133" s="371">
        <f t="shared" si="19"/>
        <v>0</v>
      </c>
      <c r="G133" s="371">
        <f t="shared" si="20"/>
        <v>0</v>
      </c>
      <c r="H133" s="371">
        <f t="shared" si="21"/>
        <v>0</v>
      </c>
      <c r="I133" s="371">
        <f t="shared" si="21"/>
        <v>0</v>
      </c>
      <c r="J133" s="371">
        <f t="shared" si="21"/>
        <v>0</v>
      </c>
      <c r="K133" s="378">
        <f t="shared" si="21"/>
        <v>0</v>
      </c>
      <c r="L133" s="21"/>
      <c r="M133" s="21"/>
    </row>
    <row r="134" spans="1:13" ht="12.75">
      <c r="A134" s="367">
        <f t="shared" si="22"/>
        <v>119</v>
      </c>
      <c r="B134" s="368"/>
      <c r="C134" s="368">
        <v>27</v>
      </c>
      <c r="D134" s="369"/>
      <c r="E134" s="370" t="s">
        <v>219</v>
      </c>
      <c r="F134" s="371">
        <f t="shared" si="19"/>
        <v>0</v>
      </c>
      <c r="G134" s="371">
        <f t="shared" si="20"/>
        <v>0</v>
      </c>
      <c r="H134" s="371">
        <f t="shared" si="21"/>
        <v>0</v>
      </c>
      <c r="I134" s="371">
        <f t="shared" si="21"/>
        <v>0</v>
      </c>
      <c r="J134" s="371">
        <f t="shared" si="21"/>
        <v>0</v>
      </c>
      <c r="K134" s="371">
        <f t="shared" si="21"/>
        <v>0</v>
      </c>
      <c r="L134" s="21"/>
      <c r="M134" s="21"/>
    </row>
    <row r="135" spans="1:14" ht="12.75">
      <c r="A135" s="367">
        <f t="shared" si="22"/>
        <v>120</v>
      </c>
      <c r="B135" s="368"/>
      <c r="C135" s="368">
        <v>30</v>
      </c>
      <c r="D135" s="369"/>
      <c r="E135" s="370" t="s">
        <v>120</v>
      </c>
      <c r="F135" s="371">
        <f>F136+F137+F138+F139+F140</f>
        <v>0</v>
      </c>
      <c r="G135" s="371">
        <f t="shared" si="20"/>
        <v>729.24</v>
      </c>
      <c r="H135" s="371">
        <f>H136+H137+H138+H139+H140</f>
        <v>14.92</v>
      </c>
      <c r="I135" s="371">
        <f>I136+I137+I138+I139+I140</f>
        <v>33.66</v>
      </c>
      <c r="J135" s="371">
        <f>J136+J137+J138+J139+J140</f>
        <v>59.66</v>
      </c>
      <c r="K135" s="371">
        <f>K136+K137+K138+K139+K140</f>
        <v>621</v>
      </c>
      <c r="L135" s="21"/>
      <c r="M135" s="21"/>
      <c r="N135" s="21"/>
    </row>
    <row r="136" spans="1:13" ht="12.75">
      <c r="A136" s="367">
        <f t="shared" si="22"/>
        <v>121</v>
      </c>
      <c r="B136" s="368"/>
      <c r="C136" s="368"/>
      <c r="D136" s="379" t="s">
        <v>47</v>
      </c>
      <c r="E136" s="66" t="s">
        <v>220</v>
      </c>
      <c r="F136" s="79">
        <f aca="true" t="shared" si="23" ref="F136:F141">+F252+F368+F484+F600</f>
        <v>0</v>
      </c>
      <c r="G136" s="79">
        <f t="shared" si="20"/>
        <v>0</v>
      </c>
      <c r="H136" s="79">
        <f aca="true" t="shared" si="24" ref="H136:K141">+H252+H368+H484+H600</f>
        <v>0</v>
      </c>
      <c r="I136" s="79">
        <f t="shared" si="24"/>
        <v>0</v>
      </c>
      <c r="J136" s="79">
        <f t="shared" si="24"/>
        <v>0</v>
      </c>
      <c r="K136" s="393">
        <f t="shared" si="24"/>
        <v>0</v>
      </c>
      <c r="L136" s="21"/>
      <c r="M136" s="21"/>
    </row>
    <row r="137" spans="1:14" ht="12.75">
      <c r="A137" s="367">
        <f t="shared" si="22"/>
        <v>122</v>
      </c>
      <c r="B137" s="368"/>
      <c r="C137" s="368"/>
      <c r="D137" s="379" t="s">
        <v>84</v>
      </c>
      <c r="E137" s="66" t="s">
        <v>221</v>
      </c>
      <c r="F137" s="79">
        <f t="shared" si="23"/>
        <v>0</v>
      </c>
      <c r="G137" s="79">
        <f t="shared" si="20"/>
        <v>0</v>
      </c>
      <c r="H137" s="79">
        <f t="shared" si="24"/>
        <v>0</v>
      </c>
      <c r="I137" s="79">
        <f t="shared" si="24"/>
        <v>0</v>
      </c>
      <c r="J137" s="79">
        <f t="shared" si="24"/>
        <v>0</v>
      </c>
      <c r="K137" s="393">
        <f t="shared" si="24"/>
        <v>0</v>
      </c>
      <c r="L137" s="21"/>
      <c r="M137" s="21"/>
      <c r="N137" s="21"/>
    </row>
    <row r="138" spans="1:13" ht="12.75">
      <c r="A138" s="367">
        <f t="shared" si="22"/>
        <v>123</v>
      </c>
      <c r="B138" s="368"/>
      <c r="C138" s="368"/>
      <c r="D138" s="379" t="s">
        <v>108</v>
      </c>
      <c r="E138" s="66" t="s">
        <v>222</v>
      </c>
      <c r="F138" s="79">
        <f t="shared" si="23"/>
        <v>0</v>
      </c>
      <c r="G138" s="79">
        <f t="shared" si="20"/>
        <v>723.26</v>
      </c>
      <c r="H138" s="79">
        <f t="shared" si="24"/>
        <v>13.26</v>
      </c>
      <c r="I138" s="79">
        <f t="shared" si="24"/>
        <v>32</v>
      </c>
      <c r="J138" s="79">
        <f t="shared" si="24"/>
        <v>58</v>
      </c>
      <c r="K138" s="393">
        <f t="shared" si="24"/>
        <v>620</v>
      </c>
      <c r="L138" s="21"/>
      <c r="M138" s="21"/>
    </row>
    <row r="139" spans="1:13" ht="12.75">
      <c r="A139" s="367">
        <f t="shared" si="22"/>
        <v>124</v>
      </c>
      <c r="B139" s="368"/>
      <c r="C139" s="368"/>
      <c r="D139" s="379" t="s">
        <v>160</v>
      </c>
      <c r="E139" s="66" t="s">
        <v>223</v>
      </c>
      <c r="F139" s="79">
        <f t="shared" si="23"/>
        <v>0</v>
      </c>
      <c r="G139" s="79">
        <f t="shared" si="20"/>
        <v>0</v>
      </c>
      <c r="H139" s="79">
        <f t="shared" si="24"/>
        <v>0</v>
      </c>
      <c r="I139" s="79">
        <f t="shared" si="24"/>
        <v>0</v>
      </c>
      <c r="J139" s="79">
        <f t="shared" si="24"/>
        <v>0</v>
      </c>
      <c r="K139" s="393">
        <f t="shared" si="24"/>
        <v>0</v>
      </c>
      <c r="L139" s="21"/>
      <c r="M139" s="21"/>
    </row>
    <row r="140" spans="1:13" ht="12.75">
      <c r="A140" s="367">
        <f t="shared" si="22"/>
        <v>125</v>
      </c>
      <c r="B140" s="368"/>
      <c r="C140" s="368"/>
      <c r="D140" s="369">
        <v>30</v>
      </c>
      <c r="E140" s="66" t="s">
        <v>224</v>
      </c>
      <c r="F140" s="79">
        <f t="shared" si="23"/>
        <v>0</v>
      </c>
      <c r="G140" s="79">
        <f>H140+I140+J140+K140</f>
        <v>5.9799999999999995</v>
      </c>
      <c r="H140" s="79">
        <f t="shared" si="24"/>
        <v>1.66</v>
      </c>
      <c r="I140" s="79">
        <f t="shared" si="24"/>
        <v>1.66</v>
      </c>
      <c r="J140" s="79">
        <f t="shared" si="24"/>
        <v>1.66</v>
      </c>
      <c r="K140" s="393">
        <f t="shared" si="24"/>
        <v>1</v>
      </c>
      <c r="L140" s="21"/>
      <c r="M140" s="21"/>
    </row>
    <row r="141" spans="1:13" ht="12.75">
      <c r="A141" s="367">
        <f t="shared" si="22"/>
        <v>126</v>
      </c>
      <c r="B141" s="395">
        <v>30</v>
      </c>
      <c r="C141" s="395"/>
      <c r="D141" s="396"/>
      <c r="E141" s="397" t="s">
        <v>225</v>
      </c>
      <c r="F141" s="398">
        <f t="shared" si="23"/>
        <v>0</v>
      </c>
      <c r="G141" s="399">
        <f t="shared" si="20"/>
        <v>0</v>
      </c>
      <c r="H141" s="398">
        <f t="shared" si="24"/>
        <v>0</v>
      </c>
      <c r="I141" s="398">
        <f t="shared" si="24"/>
        <v>0</v>
      </c>
      <c r="J141" s="398">
        <f t="shared" si="24"/>
        <v>0</v>
      </c>
      <c r="K141" s="400">
        <f t="shared" si="24"/>
        <v>0</v>
      </c>
      <c r="L141" s="21"/>
      <c r="M141" s="21"/>
    </row>
    <row r="142" spans="1:13" ht="12.75">
      <c r="A142" s="367">
        <f t="shared" si="22"/>
        <v>127</v>
      </c>
      <c r="B142" s="395"/>
      <c r="C142" s="401" t="s">
        <v>84</v>
      </c>
      <c r="D142" s="396"/>
      <c r="E142" s="397" t="s">
        <v>226</v>
      </c>
      <c r="F142" s="398">
        <f>+F257+F373+F489+F606</f>
        <v>0</v>
      </c>
      <c r="G142" s="399">
        <f t="shared" si="20"/>
        <v>0</v>
      </c>
      <c r="H142" s="398">
        <f>+H257+H373+H489+H606</f>
        <v>0</v>
      </c>
      <c r="I142" s="398">
        <f>+I257+I373+I489+I606</f>
        <v>0</v>
      </c>
      <c r="J142" s="398">
        <f>+J257+J373+J489+J606</f>
        <v>0</v>
      </c>
      <c r="K142" s="400">
        <f>+K257+K373+K489+K606</f>
        <v>0</v>
      </c>
      <c r="L142" s="21"/>
      <c r="M142" s="21"/>
    </row>
    <row r="143" spans="1:13" ht="12.75">
      <c r="A143" s="367">
        <f t="shared" si="22"/>
        <v>128</v>
      </c>
      <c r="B143" s="395"/>
      <c r="C143" s="401"/>
      <c r="D143" s="402" t="s">
        <v>41</v>
      </c>
      <c r="E143" s="403" t="s">
        <v>227</v>
      </c>
      <c r="F143" s="398">
        <f>+F259+F375+F491+F607</f>
        <v>0</v>
      </c>
      <c r="G143" s="399">
        <f t="shared" si="20"/>
        <v>0</v>
      </c>
      <c r="H143" s="398">
        <f>+H259+H375+H491+H607</f>
        <v>0</v>
      </c>
      <c r="I143" s="398">
        <f>+I259+I375+I491+I607</f>
        <v>0</v>
      </c>
      <c r="J143" s="398">
        <f>+J259+J375+J491+J607</f>
        <v>0</v>
      </c>
      <c r="K143" s="398">
        <f>+K259+K375+K491+K607</f>
        <v>0</v>
      </c>
      <c r="L143" s="21"/>
      <c r="M143" s="21"/>
    </row>
    <row r="144" spans="1:13" ht="30.75" customHeight="1">
      <c r="A144" s="367">
        <f t="shared" si="22"/>
        <v>129</v>
      </c>
      <c r="B144" s="404" t="s">
        <v>228</v>
      </c>
      <c r="C144" s="401"/>
      <c r="D144" s="402"/>
      <c r="E144" s="405" t="s">
        <v>229</v>
      </c>
      <c r="F144" s="398">
        <f>+F260+F376+F492</f>
        <v>30250</v>
      </c>
      <c r="G144" s="399">
        <f t="shared" si="20"/>
        <v>13750</v>
      </c>
      <c r="H144" s="398">
        <f>+H260+H376+H492</f>
        <v>2683.47</v>
      </c>
      <c r="I144" s="398">
        <f>+I260+I376+I492</f>
        <v>0</v>
      </c>
      <c r="J144" s="398">
        <f>+J260+J376+J492</f>
        <v>10516.53</v>
      </c>
      <c r="K144" s="398">
        <f>+K260+K376+K492</f>
        <v>550</v>
      </c>
      <c r="L144" s="21"/>
      <c r="M144" s="21"/>
    </row>
    <row r="145" spans="1:13" ht="12.75">
      <c r="A145" s="367">
        <f t="shared" si="22"/>
        <v>130</v>
      </c>
      <c r="B145" s="395">
        <v>57</v>
      </c>
      <c r="C145" s="401"/>
      <c r="D145" s="402"/>
      <c r="E145" s="397" t="s">
        <v>230</v>
      </c>
      <c r="F145" s="399">
        <f aca="true" t="shared" si="25" ref="F145:K146">F146</f>
        <v>0</v>
      </c>
      <c r="G145" s="399">
        <f t="shared" si="20"/>
        <v>0</v>
      </c>
      <c r="H145" s="399">
        <f t="shared" si="25"/>
        <v>0</v>
      </c>
      <c r="I145" s="399">
        <f t="shared" si="25"/>
        <v>0</v>
      </c>
      <c r="J145" s="399">
        <f t="shared" si="25"/>
        <v>0</v>
      </c>
      <c r="K145" s="399">
        <f t="shared" si="25"/>
        <v>0</v>
      </c>
      <c r="L145" s="21"/>
      <c r="M145" s="21"/>
    </row>
    <row r="146" spans="1:13" ht="12.75">
      <c r="A146" s="367">
        <f t="shared" si="22"/>
        <v>131</v>
      </c>
      <c r="B146" s="395"/>
      <c r="C146" s="401" t="s">
        <v>47</v>
      </c>
      <c r="D146" s="402"/>
      <c r="E146" s="397" t="s">
        <v>231</v>
      </c>
      <c r="F146" s="399">
        <f t="shared" si="25"/>
        <v>0</v>
      </c>
      <c r="G146" s="399">
        <f t="shared" si="20"/>
        <v>0</v>
      </c>
      <c r="H146" s="399">
        <f t="shared" si="25"/>
        <v>0</v>
      </c>
      <c r="I146" s="399">
        <f t="shared" si="25"/>
        <v>0</v>
      </c>
      <c r="J146" s="399">
        <f t="shared" si="25"/>
        <v>0</v>
      </c>
      <c r="K146" s="399">
        <f t="shared" si="25"/>
        <v>0</v>
      </c>
      <c r="L146" s="21"/>
      <c r="M146" s="21"/>
    </row>
    <row r="147" spans="1:12" ht="12.75">
      <c r="A147" s="367">
        <f t="shared" si="22"/>
        <v>132</v>
      </c>
      <c r="B147" s="395"/>
      <c r="C147" s="401" t="s">
        <v>80</v>
      </c>
      <c r="D147" s="402"/>
      <c r="E147" s="403" t="s">
        <v>232</v>
      </c>
      <c r="F147" s="399">
        <f>F148+F149+F150+F151</f>
        <v>0</v>
      </c>
      <c r="G147" s="399">
        <f t="shared" si="20"/>
        <v>0</v>
      </c>
      <c r="H147" s="399">
        <f>H148+H149+H150+H151</f>
        <v>0</v>
      </c>
      <c r="I147" s="399">
        <f>I148+I149+I150+I151</f>
        <v>0</v>
      </c>
      <c r="J147" s="399">
        <f>J148+J149+J150+J151</f>
        <v>0</v>
      </c>
      <c r="K147" s="399">
        <f>K148+K149+K150+K151</f>
        <v>0</v>
      </c>
      <c r="L147" s="21"/>
    </row>
    <row r="148" spans="1:12" ht="12.75">
      <c r="A148" s="367">
        <f t="shared" si="22"/>
        <v>133</v>
      </c>
      <c r="B148" s="395"/>
      <c r="C148" s="401"/>
      <c r="D148" s="402" t="s">
        <v>47</v>
      </c>
      <c r="E148" s="403" t="s">
        <v>233</v>
      </c>
      <c r="F148" s="399">
        <f>+F264+F380+F496+F611</f>
        <v>0</v>
      </c>
      <c r="G148" s="399">
        <f t="shared" si="20"/>
        <v>0</v>
      </c>
      <c r="H148" s="399">
        <f aca="true" t="shared" si="26" ref="H148:K151">+H264+H380+H496+H611</f>
        <v>0</v>
      </c>
      <c r="I148" s="399">
        <f t="shared" si="26"/>
        <v>0</v>
      </c>
      <c r="J148" s="399">
        <f t="shared" si="26"/>
        <v>0</v>
      </c>
      <c r="K148" s="399">
        <f t="shared" si="26"/>
        <v>0</v>
      </c>
      <c r="L148" s="21"/>
    </row>
    <row r="149" spans="1:12" ht="12.75">
      <c r="A149" s="367">
        <f t="shared" si="22"/>
        <v>134</v>
      </c>
      <c r="B149" s="395"/>
      <c r="C149" s="401"/>
      <c r="D149" s="402" t="s">
        <v>80</v>
      </c>
      <c r="E149" s="403" t="s">
        <v>234</v>
      </c>
      <c r="F149" s="399">
        <f>+F265+F381+F497+F612</f>
        <v>0</v>
      </c>
      <c r="G149" s="399">
        <f t="shared" si="20"/>
        <v>0</v>
      </c>
      <c r="H149" s="399">
        <f t="shared" si="26"/>
        <v>0</v>
      </c>
      <c r="I149" s="399">
        <f t="shared" si="26"/>
        <v>0</v>
      </c>
      <c r="J149" s="399">
        <f t="shared" si="26"/>
        <v>0</v>
      </c>
      <c r="K149" s="399">
        <f t="shared" si="26"/>
        <v>0</v>
      </c>
      <c r="L149" s="21"/>
    </row>
    <row r="150" spans="1:12" ht="12.75">
      <c r="A150" s="367">
        <f t="shared" si="22"/>
        <v>135</v>
      </c>
      <c r="B150" s="395"/>
      <c r="C150" s="401"/>
      <c r="D150" s="402" t="s">
        <v>84</v>
      </c>
      <c r="E150" s="403" t="s">
        <v>235</v>
      </c>
      <c r="F150" s="399">
        <f>+F266+F382+F498+F613</f>
        <v>0</v>
      </c>
      <c r="G150" s="399">
        <f t="shared" si="20"/>
        <v>0</v>
      </c>
      <c r="H150" s="399">
        <f t="shared" si="26"/>
        <v>0</v>
      </c>
      <c r="I150" s="399">
        <f t="shared" si="26"/>
        <v>0</v>
      </c>
      <c r="J150" s="399">
        <f t="shared" si="26"/>
        <v>0</v>
      </c>
      <c r="K150" s="399">
        <f t="shared" si="26"/>
        <v>0</v>
      </c>
      <c r="L150" s="21"/>
    </row>
    <row r="151" spans="1:12" ht="12.75">
      <c r="A151" s="367">
        <f t="shared" si="22"/>
        <v>136</v>
      </c>
      <c r="B151" s="395"/>
      <c r="C151" s="401"/>
      <c r="D151" s="402" t="s">
        <v>108</v>
      </c>
      <c r="E151" s="403" t="s">
        <v>236</v>
      </c>
      <c r="F151" s="399">
        <f>+F267+F383+F499+F614</f>
        <v>0</v>
      </c>
      <c r="G151" s="399">
        <f t="shared" si="20"/>
        <v>0</v>
      </c>
      <c r="H151" s="399">
        <f t="shared" si="26"/>
        <v>0</v>
      </c>
      <c r="I151" s="399">
        <f t="shared" si="26"/>
        <v>0</v>
      </c>
      <c r="J151" s="399">
        <f t="shared" si="26"/>
        <v>0</v>
      </c>
      <c r="K151" s="399">
        <f t="shared" si="26"/>
        <v>0</v>
      </c>
      <c r="L151" s="21"/>
    </row>
    <row r="152" spans="1:18" ht="12.75">
      <c r="A152" s="367">
        <f t="shared" si="22"/>
        <v>137</v>
      </c>
      <c r="B152" s="368">
        <v>70</v>
      </c>
      <c r="C152" s="368"/>
      <c r="D152" s="369"/>
      <c r="E152" s="370" t="s">
        <v>237</v>
      </c>
      <c r="F152" s="371">
        <f>F153</f>
        <v>0</v>
      </c>
      <c r="G152" s="371">
        <f t="shared" si="20"/>
        <v>32692.74</v>
      </c>
      <c r="H152" s="371">
        <f>H153</f>
        <v>8883.77</v>
      </c>
      <c r="I152" s="371">
        <f>I153</f>
        <v>14666.45</v>
      </c>
      <c r="J152" s="371">
        <f>J153</f>
        <v>5605.52</v>
      </c>
      <c r="K152" s="371">
        <f>K153</f>
        <v>3537</v>
      </c>
      <c r="L152" s="21"/>
      <c r="M152" s="167"/>
      <c r="N152" s="167"/>
      <c r="O152" s="167"/>
      <c r="P152" s="167"/>
      <c r="Q152" s="167"/>
      <c r="R152" s="21"/>
    </row>
    <row r="153" spans="1:17" ht="12.75">
      <c r="A153" s="367">
        <f t="shared" si="22"/>
        <v>138</v>
      </c>
      <c r="B153" s="368">
        <v>71</v>
      </c>
      <c r="C153" s="406"/>
      <c r="D153" s="369"/>
      <c r="E153" s="370" t="s">
        <v>238</v>
      </c>
      <c r="F153" s="371">
        <f>F154+F159</f>
        <v>0</v>
      </c>
      <c r="G153" s="371">
        <f t="shared" si="20"/>
        <v>32692.74</v>
      </c>
      <c r="H153" s="371">
        <f>H154+H159</f>
        <v>8883.77</v>
      </c>
      <c r="I153" s="371">
        <f>I154+I159</f>
        <v>14666.45</v>
      </c>
      <c r="J153" s="371">
        <f>J154+J159</f>
        <v>5605.52</v>
      </c>
      <c r="K153" s="371">
        <f>K154+K159</f>
        <v>3537</v>
      </c>
      <c r="L153" s="21"/>
      <c r="M153" s="167"/>
      <c r="N153" s="167"/>
      <c r="O153" s="167"/>
      <c r="P153" s="167"/>
      <c r="Q153" s="167"/>
    </row>
    <row r="154" spans="1:17" ht="12.75">
      <c r="A154" s="367">
        <f t="shared" si="22"/>
        <v>139</v>
      </c>
      <c r="B154" s="368"/>
      <c r="C154" s="377" t="s">
        <v>47</v>
      </c>
      <c r="D154" s="369"/>
      <c r="E154" s="370" t="s">
        <v>77</v>
      </c>
      <c r="F154" s="371">
        <f>F155+F156+F157+F158</f>
        <v>0</v>
      </c>
      <c r="G154" s="371">
        <f t="shared" si="20"/>
        <v>24886.74</v>
      </c>
      <c r="H154" s="371">
        <f>H155+H156+H157+H158</f>
        <v>7549.77</v>
      </c>
      <c r="I154" s="371">
        <f>I155+I156+I157+I158</f>
        <v>11428.45</v>
      </c>
      <c r="J154" s="371">
        <f>J155+J156+J157+J158</f>
        <v>2963.52</v>
      </c>
      <c r="K154" s="371">
        <f>K155+K156+K157+K158</f>
        <v>2945</v>
      </c>
      <c r="L154" s="21"/>
      <c r="M154" s="167"/>
      <c r="N154" s="167"/>
      <c r="O154" s="167"/>
      <c r="P154" s="167"/>
      <c r="Q154" s="167"/>
    </row>
    <row r="155" spans="1:12" ht="12.75">
      <c r="A155" s="367">
        <f t="shared" si="22"/>
        <v>140</v>
      </c>
      <c r="B155" s="368"/>
      <c r="C155" s="368"/>
      <c r="D155" s="379" t="s">
        <v>47</v>
      </c>
      <c r="E155" s="66" t="s">
        <v>239</v>
      </c>
      <c r="F155" s="79">
        <f>+F271+F387+F503+F618</f>
        <v>0</v>
      </c>
      <c r="G155" s="79">
        <f t="shared" si="20"/>
        <v>0</v>
      </c>
      <c r="H155" s="79">
        <f aca="true" t="shared" si="27" ref="H155:K159">+H271+H387+H503+H618</f>
        <v>0</v>
      </c>
      <c r="I155" s="79">
        <f t="shared" si="27"/>
        <v>0</v>
      </c>
      <c r="J155" s="79">
        <f t="shared" si="27"/>
        <v>0</v>
      </c>
      <c r="K155" s="79">
        <f t="shared" si="27"/>
        <v>0</v>
      </c>
      <c r="L155" s="21"/>
    </row>
    <row r="156" spans="1:13" ht="12.75">
      <c r="A156" s="367">
        <f t="shared" si="22"/>
        <v>141</v>
      </c>
      <c r="B156" s="368"/>
      <c r="C156" s="368"/>
      <c r="D156" s="379" t="s">
        <v>80</v>
      </c>
      <c r="E156" s="66" t="s">
        <v>240</v>
      </c>
      <c r="F156" s="79">
        <f>+F272+F388+F504+F619</f>
        <v>0</v>
      </c>
      <c r="G156" s="79">
        <f t="shared" si="20"/>
        <v>24500.74</v>
      </c>
      <c r="H156" s="79">
        <f t="shared" si="27"/>
        <v>7163.77</v>
      </c>
      <c r="I156" s="79">
        <f t="shared" si="27"/>
        <v>11428.45</v>
      </c>
      <c r="J156" s="79">
        <f t="shared" si="27"/>
        <v>2963.52</v>
      </c>
      <c r="K156" s="79">
        <f t="shared" si="27"/>
        <v>2945</v>
      </c>
      <c r="L156" s="21"/>
      <c r="M156" s="167"/>
    </row>
    <row r="157" spans="1:12" ht="12.75">
      <c r="A157" s="367">
        <f t="shared" si="22"/>
        <v>142</v>
      </c>
      <c r="B157" s="368"/>
      <c r="C157" s="368"/>
      <c r="D157" s="379" t="s">
        <v>84</v>
      </c>
      <c r="E157" s="66" t="s">
        <v>241</v>
      </c>
      <c r="F157" s="79">
        <f>+F273+F389+F505+F620</f>
        <v>0</v>
      </c>
      <c r="G157" s="79">
        <f t="shared" si="20"/>
        <v>386</v>
      </c>
      <c r="H157" s="79">
        <f t="shared" si="27"/>
        <v>386</v>
      </c>
      <c r="I157" s="79">
        <f t="shared" si="27"/>
        <v>0</v>
      </c>
      <c r="J157" s="79">
        <f t="shared" si="27"/>
        <v>0</v>
      </c>
      <c r="K157" s="79">
        <f t="shared" si="27"/>
        <v>0</v>
      </c>
      <c r="L157" s="21"/>
    </row>
    <row r="158" spans="1:12" ht="12.75">
      <c r="A158" s="367">
        <f t="shared" si="22"/>
        <v>143</v>
      </c>
      <c r="B158" s="368"/>
      <c r="C158" s="368"/>
      <c r="D158" s="369">
        <v>30</v>
      </c>
      <c r="E158" s="66" t="s">
        <v>242</v>
      </c>
      <c r="F158" s="79">
        <f>+F274+F390+F506+F621</f>
        <v>0</v>
      </c>
      <c r="G158" s="79">
        <f t="shared" si="20"/>
        <v>0</v>
      </c>
      <c r="H158" s="79">
        <f t="shared" si="27"/>
        <v>0</v>
      </c>
      <c r="I158" s="79">
        <f t="shared" si="27"/>
        <v>0</v>
      </c>
      <c r="J158" s="79">
        <f t="shared" si="27"/>
        <v>0</v>
      </c>
      <c r="K158" s="79">
        <f t="shared" si="27"/>
        <v>0</v>
      </c>
      <c r="L158" s="21"/>
    </row>
    <row r="159" spans="1:12" ht="12.75">
      <c r="A159" s="367">
        <f t="shared" si="22"/>
        <v>144</v>
      </c>
      <c r="B159" s="368">
        <v>71</v>
      </c>
      <c r="C159" s="377" t="s">
        <v>84</v>
      </c>
      <c r="D159" s="369"/>
      <c r="E159" s="66" t="s">
        <v>243</v>
      </c>
      <c r="F159" s="79">
        <f>+F275+F391+F507+F622</f>
        <v>0</v>
      </c>
      <c r="G159" s="79">
        <f t="shared" si="20"/>
        <v>7806</v>
      </c>
      <c r="H159" s="79">
        <f t="shared" si="27"/>
        <v>1334</v>
      </c>
      <c r="I159" s="79">
        <f t="shared" si="27"/>
        <v>3238</v>
      </c>
      <c r="J159" s="79">
        <f t="shared" si="27"/>
        <v>2642</v>
      </c>
      <c r="K159" s="79">
        <f t="shared" si="27"/>
        <v>592</v>
      </c>
      <c r="L159" s="21"/>
    </row>
    <row r="160" spans="1:12" ht="12.75">
      <c r="A160" s="367">
        <f t="shared" si="22"/>
        <v>145</v>
      </c>
      <c r="B160" s="368"/>
      <c r="C160" s="368"/>
      <c r="D160" s="369"/>
      <c r="E160" s="370" t="s">
        <v>244</v>
      </c>
      <c r="F160" s="371">
        <f>F161+F162+F163</f>
        <v>0</v>
      </c>
      <c r="G160" s="371">
        <f t="shared" si="20"/>
        <v>328.96999999999997</v>
      </c>
      <c r="H160" s="371">
        <f>H161+H162+H163</f>
        <v>60</v>
      </c>
      <c r="I160" s="371">
        <f>I161+I162+I163</f>
        <v>165.45</v>
      </c>
      <c r="J160" s="371">
        <f>J161+J162+J163</f>
        <v>53.52</v>
      </c>
      <c r="K160" s="371">
        <f>K161+K162+K163</f>
        <v>50</v>
      </c>
      <c r="L160" s="21"/>
    </row>
    <row r="161" spans="1:12" ht="12.75">
      <c r="A161" s="367">
        <f t="shared" si="22"/>
        <v>146</v>
      </c>
      <c r="B161" s="368">
        <v>71</v>
      </c>
      <c r="C161" s="377" t="s">
        <v>47</v>
      </c>
      <c r="D161" s="379" t="s">
        <v>80</v>
      </c>
      <c r="E161" s="66" t="s">
        <v>81</v>
      </c>
      <c r="F161" s="79">
        <f>+F277+F393+F509+F624</f>
        <v>0</v>
      </c>
      <c r="G161" s="79">
        <f t="shared" si="20"/>
        <v>328.96999999999997</v>
      </c>
      <c r="H161" s="79">
        <f aca="true" t="shared" si="28" ref="H161:K163">+H277+H393+H509+H624</f>
        <v>60</v>
      </c>
      <c r="I161" s="79">
        <f t="shared" si="28"/>
        <v>165.45</v>
      </c>
      <c r="J161" s="79">
        <f t="shared" si="28"/>
        <v>53.52</v>
      </c>
      <c r="K161" s="79">
        <f t="shared" si="28"/>
        <v>50</v>
      </c>
      <c r="L161" s="21"/>
    </row>
    <row r="162" spans="1:12" ht="12.75">
      <c r="A162" s="367">
        <f t="shared" si="22"/>
        <v>147</v>
      </c>
      <c r="B162" s="368"/>
      <c r="C162" s="368"/>
      <c r="D162" s="379" t="s">
        <v>84</v>
      </c>
      <c r="E162" s="66" t="s">
        <v>245</v>
      </c>
      <c r="F162" s="79">
        <f>+F278+F394+F510+F625</f>
        <v>0</v>
      </c>
      <c r="G162" s="79">
        <f t="shared" si="20"/>
        <v>0</v>
      </c>
      <c r="H162" s="79">
        <f t="shared" si="28"/>
        <v>0</v>
      </c>
      <c r="I162" s="79">
        <f t="shared" si="28"/>
        <v>0</v>
      </c>
      <c r="J162" s="79">
        <f t="shared" si="28"/>
        <v>0</v>
      </c>
      <c r="K162" s="79">
        <f t="shared" si="28"/>
        <v>0</v>
      </c>
      <c r="L162" s="21"/>
    </row>
    <row r="163" spans="1:12" ht="12.75">
      <c r="A163" s="367">
        <f t="shared" si="22"/>
        <v>148</v>
      </c>
      <c r="B163" s="368"/>
      <c r="C163" s="368"/>
      <c r="D163" s="369">
        <v>30</v>
      </c>
      <c r="E163" s="97" t="s">
        <v>242</v>
      </c>
      <c r="F163" s="79">
        <f>+F279+F395+F511+F626</f>
        <v>0</v>
      </c>
      <c r="G163" s="79">
        <f t="shared" si="20"/>
        <v>0</v>
      </c>
      <c r="H163" s="79">
        <f t="shared" si="28"/>
        <v>0</v>
      </c>
      <c r="I163" s="79">
        <f t="shared" si="28"/>
        <v>0</v>
      </c>
      <c r="J163" s="79">
        <f t="shared" si="28"/>
        <v>0</v>
      </c>
      <c r="K163" s="79">
        <f t="shared" si="28"/>
        <v>0</v>
      </c>
      <c r="L163" s="21"/>
    </row>
    <row r="164" spans="1:12" ht="12.75">
      <c r="A164" s="367">
        <f t="shared" si="22"/>
        <v>149</v>
      </c>
      <c r="B164" s="368"/>
      <c r="C164" s="368"/>
      <c r="D164" s="369"/>
      <c r="E164" s="66" t="s">
        <v>246</v>
      </c>
      <c r="F164" s="79"/>
      <c r="G164" s="79">
        <f t="shared" si="20"/>
        <v>0</v>
      </c>
      <c r="H164" s="79"/>
      <c r="I164" s="79"/>
      <c r="J164" s="79"/>
      <c r="K164" s="393"/>
      <c r="L164" s="21"/>
    </row>
    <row r="165" spans="1:12" ht="12.75">
      <c r="A165" s="367"/>
      <c r="B165" s="368" t="s">
        <v>18</v>
      </c>
      <c r="C165" s="368" t="s">
        <v>247</v>
      </c>
      <c r="D165" s="86" t="s">
        <v>20</v>
      </c>
      <c r="E165" s="66"/>
      <c r="F165" s="79"/>
      <c r="G165" s="79">
        <f t="shared" si="20"/>
        <v>0</v>
      </c>
      <c r="H165" s="79"/>
      <c r="I165" s="79"/>
      <c r="J165" s="79"/>
      <c r="K165" s="393"/>
      <c r="L165" s="21"/>
    </row>
    <row r="166" spans="1:12" ht="12.75">
      <c r="A166" s="367">
        <f>A164+1</f>
        <v>150</v>
      </c>
      <c r="B166" s="377" t="s">
        <v>248</v>
      </c>
      <c r="C166" s="368"/>
      <c r="D166" s="369"/>
      <c r="E166" s="85" t="s">
        <v>249</v>
      </c>
      <c r="F166" s="49">
        <f>F167+F170+F171+F174+F175</f>
        <v>30250</v>
      </c>
      <c r="G166" s="50">
        <f t="shared" si="20"/>
        <v>187576.96</v>
      </c>
      <c r="H166" s="49">
        <f>H167+H170+H171+H174+H175</f>
        <v>43423.6</v>
      </c>
      <c r="I166" s="49">
        <f>I167+I170+I171+I174+I175</f>
        <v>43263.67</v>
      </c>
      <c r="J166" s="49">
        <f>J167+J170+J171+J174+J175</f>
        <v>54428.41</v>
      </c>
      <c r="K166" s="49">
        <f>K167+K170+K171+K174+K175</f>
        <v>46461.28</v>
      </c>
      <c r="L166" s="21"/>
    </row>
    <row r="167" spans="1:16" ht="12.75">
      <c r="A167" s="367">
        <f aca="true" t="shared" si="29" ref="A167:A230">A166+1</f>
        <v>151</v>
      </c>
      <c r="B167" s="368"/>
      <c r="C167" s="377" t="s">
        <v>108</v>
      </c>
      <c r="D167" s="369"/>
      <c r="E167" s="85" t="s">
        <v>250</v>
      </c>
      <c r="F167" s="49">
        <f>F168+F169</f>
        <v>0</v>
      </c>
      <c r="G167" s="50">
        <f t="shared" si="20"/>
        <v>0</v>
      </c>
      <c r="H167" s="49">
        <f>H168+H169</f>
        <v>0</v>
      </c>
      <c r="I167" s="49">
        <f>I168+I169</f>
        <v>0</v>
      </c>
      <c r="J167" s="49">
        <f>J168+J169</f>
        <v>0</v>
      </c>
      <c r="K167" s="49">
        <f>K168+K169</f>
        <v>0</v>
      </c>
      <c r="L167" s="21"/>
      <c r="M167" s="21"/>
      <c r="N167" s="21"/>
      <c r="O167" s="21"/>
      <c r="P167" s="21"/>
    </row>
    <row r="168" spans="1:17" ht="12.75">
      <c r="A168" s="367">
        <f t="shared" si="29"/>
        <v>152</v>
      </c>
      <c r="B168" s="368"/>
      <c r="C168" s="368"/>
      <c r="D168" s="379" t="s">
        <v>80</v>
      </c>
      <c r="E168" s="66" t="s">
        <v>251</v>
      </c>
      <c r="F168" s="79">
        <f>+F284+F400+F516+F631</f>
        <v>0</v>
      </c>
      <c r="G168" s="79">
        <f t="shared" si="20"/>
        <v>0</v>
      </c>
      <c r="H168" s="79">
        <f aca="true" t="shared" si="30" ref="H168:K170">+H284+H400+H516+H631</f>
        <v>0</v>
      </c>
      <c r="I168" s="79">
        <f t="shared" si="30"/>
        <v>0</v>
      </c>
      <c r="J168" s="79">
        <f t="shared" si="30"/>
        <v>0</v>
      </c>
      <c r="K168" s="393">
        <f t="shared" si="30"/>
        <v>0</v>
      </c>
      <c r="L168" s="21"/>
      <c r="M168" s="21"/>
      <c r="N168" s="21"/>
      <c r="O168" s="21"/>
      <c r="P168" s="21"/>
      <c r="Q168" s="21"/>
    </row>
    <row r="169" spans="1:12" ht="12.75">
      <c r="A169" s="367">
        <f t="shared" si="29"/>
        <v>153</v>
      </c>
      <c r="B169" s="368"/>
      <c r="C169" s="368"/>
      <c r="D169" s="369">
        <v>50</v>
      </c>
      <c r="E169" s="66" t="s">
        <v>252</v>
      </c>
      <c r="F169" s="79">
        <f>+F285+F401+F517+F632</f>
        <v>0</v>
      </c>
      <c r="G169" s="79">
        <f t="shared" si="20"/>
        <v>0</v>
      </c>
      <c r="H169" s="79">
        <f t="shared" si="30"/>
        <v>0</v>
      </c>
      <c r="I169" s="79">
        <f t="shared" si="30"/>
        <v>0</v>
      </c>
      <c r="J169" s="79">
        <f t="shared" si="30"/>
        <v>0</v>
      </c>
      <c r="K169" s="393">
        <f t="shared" si="30"/>
        <v>0</v>
      </c>
      <c r="L169" s="21"/>
    </row>
    <row r="170" spans="1:12" ht="12.75">
      <c r="A170" s="367">
        <f t="shared" si="29"/>
        <v>154</v>
      </c>
      <c r="B170" s="368"/>
      <c r="C170" s="377" t="s">
        <v>41</v>
      </c>
      <c r="D170" s="369"/>
      <c r="E170" s="59" t="s">
        <v>253</v>
      </c>
      <c r="F170" s="49">
        <f>+F286+F402+F518+F633</f>
        <v>0</v>
      </c>
      <c r="G170" s="50">
        <f t="shared" si="20"/>
        <v>0</v>
      </c>
      <c r="H170" s="49">
        <f t="shared" si="30"/>
        <v>0</v>
      </c>
      <c r="I170" s="49">
        <f t="shared" si="30"/>
        <v>0</v>
      </c>
      <c r="J170" s="49">
        <f t="shared" si="30"/>
        <v>0</v>
      </c>
      <c r="K170" s="124">
        <f t="shared" si="30"/>
        <v>0</v>
      </c>
      <c r="L170" s="21"/>
    </row>
    <row r="171" spans="1:12" ht="12.75">
      <c r="A171" s="367">
        <f t="shared" si="29"/>
        <v>155</v>
      </c>
      <c r="B171" s="368"/>
      <c r="C171" s="377" t="s">
        <v>154</v>
      </c>
      <c r="D171" s="369"/>
      <c r="E171" s="85" t="s">
        <v>254</v>
      </c>
      <c r="F171" s="49">
        <f>F172+F173</f>
        <v>30250</v>
      </c>
      <c r="G171" s="50">
        <f t="shared" si="20"/>
        <v>187576.96</v>
      </c>
      <c r="H171" s="49">
        <f>H172+H173</f>
        <v>43423.6</v>
      </c>
      <c r="I171" s="49">
        <f>I172+I173</f>
        <v>43263.67</v>
      </c>
      <c r="J171" s="49">
        <f>J172+J173</f>
        <v>54428.41</v>
      </c>
      <c r="K171" s="49">
        <f>K172+K173</f>
        <v>46461.28</v>
      </c>
      <c r="L171" s="21"/>
    </row>
    <row r="172" spans="1:18" ht="12.75">
      <c r="A172" s="367">
        <f t="shared" si="29"/>
        <v>156</v>
      </c>
      <c r="B172" s="368"/>
      <c r="C172" s="368"/>
      <c r="D172" s="379" t="s">
        <v>47</v>
      </c>
      <c r="E172" s="66" t="s">
        <v>255</v>
      </c>
      <c r="F172" s="79">
        <f aca="true" t="shared" si="31" ref="F172:K173">+F288+F404+F520+F635</f>
        <v>30250</v>
      </c>
      <c r="G172" s="199">
        <f t="shared" si="20"/>
        <v>187576.96</v>
      </c>
      <c r="H172" s="79">
        <f t="shared" si="31"/>
        <v>43423.6</v>
      </c>
      <c r="I172" s="79">
        <f t="shared" si="31"/>
        <v>43263.67</v>
      </c>
      <c r="J172" s="79">
        <f t="shared" si="31"/>
        <v>54428.41</v>
      </c>
      <c r="K172" s="393">
        <f t="shared" si="31"/>
        <v>46461.28</v>
      </c>
      <c r="L172" s="21"/>
      <c r="M172" s="49"/>
      <c r="N172" s="50"/>
      <c r="O172" s="49"/>
      <c r="P172" s="49"/>
      <c r="Q172" s="49"/>
      <c r="R172" s="49"/>
    </row>
    <row r="173" spans="1:18" ht="12.75">
      <c r="A173" s="367">
        <f t="shared" si="29"/>
        <v>157</v>
      </c>
      <c r="B173" s="368"/>
      <c r="C173" s="368"/>
      <c r="D173" s="379" t="s">
        <v>154</v>
      </c>
      <c r="E173" s="66" t="s">
        <v>256</v>
      </c>
      <c r="F173" s="79">
        <f>+F289+F405+F521+F636</f>
        <v>0</v>
      </c>
      <c r="G173" s="79">
        <f t="shared" si="20"/>
        <v>0</v>
      </c>
      <c r="H173" s="79">
        <f t="shared" si="31"/>
        <v>0</v>
      </c>
      <c r="I173" s="79">
        <f t="shared" si="31"/>
        <v>0</v>
      </c>
      <c r="J173" s="79">
        <f t="shared" si="31"/>
        <v>0</v>
      </c>
      <c r="K173" s="393">
        <f t="shared" si="31"/>
        <v>0</v>
      </c>
      <c r="L173" s="21"/>
      <c r="M173" s="21"/>
      <c r="N173" s="21"/>
      <c r="O173" s="21"/>
      <c r="P173" s="21"/>
      <c r="Q173" s="222"/>
      <c r="R173" s="222"/>
    </row>
    <row r="174" spans="1:12" ht="12.75">
      <c r="A174" s="367">
        <f t="shared" si="29"/>
        <v>158</v>
      </c>
      <c r="B174" s="368"/>
      <c r="C174" s="368">
        <v>10</v>
      </c>
      <c r="D174" s="369"/>
      <c r="E174" s="85" t="s">
        <v>257</v>
      </c>
      <c r="F174" s="49">
        <f>+F290</f>
        <v>0</v>
      </c>
      <c r="G174" s="50">
        <f t="shared" si="20"/>
        <v>0</v>
      </c>
      <c r="H174" s="49">
        <f>+H290</f>
        <v>0</v>
      </c>
      <c r="I174" s="49">
        <f>+I290</f>
        <v>0</v>
      </c>
      <c r="J174" s="49">
        <f>+J290</f>
        <v>0</v>
      </c>
      <c r="K174" s="124">
        <f>+K290</f>
        <v>0</v>
      </c>
      <c r="L174" s="21"/>
    </row>
    <row r="175" spans="1:12" ht="12.75">
      <c r="A175" s="367">
        <f t="shared" si="29"/>
        <v>159</v>
      </c>
      <c r="B175" s="368"/>
      <c r="C175" s="368">
        <v>50</v>
      </c>
      <c r="D175" s="369"/>
      <c r="E175" s="85" t="s">
        <v>258</v>
      </c>
      <c r="F175" s="49">
        <f>F176+F177</f>
        <v>0</v>
      </c>
      <c r="G175" s="50">
        <f t="shared" si="20"/>
        <v>0</v>
      </c>
      <c r="H175" s="49">
        <f>H176+H177</f>
        <v>0</v>
      </c>
      <c r="I175" s="49">
        <f>I176+I177</f>
        <v>0</v>
      </c>
      <c r="J175" s="49">
        <f>J176+J177</f>
        <v>0</v>
      </c>
      <c r="K175" s="49">
        <f>K176+K177</f>
        <v>0</v>
      </c>
      <c r="L175" s="21"/>
    </row>
    <row r="176" spans="1:12" ht="12.75">
      <c r="A176" s="367">
        <f t="shared" si="29"/>
        <v>160</v>
      </c>
      <c r="B176" s="368"/>
      <c r="C176" s="368"/>
      <c r="D176" s="379" t="s">
        <v>47</v>
      </c>
      <c r="E176" s="66" t="s">
        <v>259</v>
      </c>
      <c r="F176" s="79">
        <f>+F292</f>
        <v>0</v>
      </c>
      <c r="G176" s="79">
        <f t="shared" si="20"/>
        <v>0</v>
      </c>
      <c r="H176" s="79">
        <f aca="true" t="shared" si="32" ref="H176:K177">+H292</f>
        <v>0</v>
      </c>
      <c r="I176" s="79">
        <f t="shared" si="32"/>
        <v>0</v>
      </c>
      <c r="J176" s="79">
        <f t="shared" si="32"/>
        <v>0</v>
      </c>
      <c r="K176" s="393">
        <f t="shared" si="32"/>
        <v>0</v>
      </c>
      <c r="L176" s="21"/>
    </row>
    <row r="177" spans="1:12" ht="12.75">
      <c r="A177" s="367">
        <f t="shared" si="29"/>
        <v>161</v>
      </c>
      <c r="B177" s="368"/>
      <c r="C177" s="368"/>
      <c r="D177" s="369">
        <v>50</v>
      </c>
      <c r="E177" s="66" t="s">
        <v>260</v>
      </c>
      <c r="F177" s="79">
        <f>+F293</f>
        <v>0</v>
      </c>
      <c r="G177" s="79">
        <f t="shared" si="20"/>
        <v>0</v>
      </c>
      <c r="H177" s="79">
        <f t="shared" si="32"/>
        <v>0</v>
      </c>
      <c r="I177" s="79">
        <f t="shared" si="32"/>
        <v>0</v>
      </c>
      <c r="J177" s="79">
        <f t="shared" si="32"/>
        <v>0</v>
      </c>
      <c r="K177" s="393">
        <f t="shared" si="32"/>
        <v>0</v>
      </c>
      <c r="L177" s="21"/>
    </row>
    <row r="178" spans="1:18" ht="12.75">
      <c r="A178" s="367">
        <f t="shared" si="29"/>
        <v>162</v>
      </c>
      <c r="B178" s="368"/>
      <c r="C178" s="368"/>
      <c r="D178" s="369"/>
      <c r="E178" s="407" t="s">
        <v>261</v>
      </c>
      <c r="F178" s="49">
        <f>+F180+F268</f>
        <v>30250</v>
      </c>
      <c r="G178" s="50">
        <f t="shared" si="20"/>
        <v>123569.95999999999</v>
      </c>
      <c r="H178" s="124">
        <f>+H180+H268</f>
        <v>27086.600000000002</v>
      </c>
      <c r="I178" s="124">
        <f>+I180+I268</f>
        <v>20977.670000000002</v>
      </c>
      <c r="J178" s="124">
        <f>+J180+J268</f>
        <v>40474.409999999996</v>
      </c>
      <c r="K178" s="124">
        <f>+K180+K268</f>
        <v>35031.28</v>
      </c>
      <c r="L178" s="21" t="s">
        <v>378</v>
      </c>
      <c r="M178" s="21" t="s">
        <v>379</v>
      </c>
      <c r="N178" s="228" t="s">
        <v>380</v>
      </c>
      <c r="O178" s="165"/>
      <c r="P178" s="165"/>
      <c r="Q178" s="165"/>
      <c r="R178" s="165"/>
    </row>
    <row r="179" spans="1:14" ht="12.75">
      <c r="A179" s="367"/>
      <c r="B179" s="368" t="s">
        <v>59</v>
      </c>
      <c r="C179" s="368" t="s">
        <v>60</v>
      </c>
      <c r="D179" s="86" t="s">
        <v>61</v>
      </c>
      <c r="E179" s="66" t="s">
        <v>21</v>
      </c>
      <c r="F179" s="49"/>
      <c r="G179" s="50">
        <f t="shared" si="20"/>
        <v>0</v>
      </c>
      <c r="H179" s="79">
        <v>0</v>
      </c>
      <c r="I179" s="79">
        <v>0</v>
      </c>
      <c r="J179" s="79">
        <v>0</v>
      </c>
      <c r="K179" s="393"/>
      <c r="L179" s="21"/>
      <c r="M179" s="21"/>
      <c r="N179" s="228"/>
    </row>
    <row r="180" spans="1:18" ht="12.75">
      <c r="A180" s="367">
        <f>A178+1</f>
        <v>163</v>
      </c>
      <c r="B180" s="368"/>
      <c r="C180" s="368"/>
      <c r="D180" s="369"/>
      <c r="E180" s="59" t="s">
        <v>262</v>
      </c>
      <c r="F180" s="49">
        <f>+F181+F215+F257+F260+F261</f>
        <v>30250</v>
      </c>
      <c r="G180" s="50">
        <f t="shared" si="20"/>
        <v>123191.22</v>
      </c>
      <c r="H180" s="49">
        <f>+H181+H215+H257+H260+H261</f>
        <v>26976.83</v>
      </c>
      <c r="I180" s="49">
        <f>+I181+I215+I257+I260+I261</f>
        <v>20812.22</v>
      </c>
      <c r="J180" s="49">
        <f>+J181+J215+J257+J260+J261</f>
        <v>40420.89</v>
      </c>
      <c r="K180" s="49">
        <f>+K181+K215+K257+K260+K261</f>
        <v>34981.28</v>
      </c>
      <c r="L180" s="21"/>
      <c r="M180" s="171">
        <f>M181+M215</f>
        <v>13240.429999999997</v>
      </c>
      <c r="N180" s="228"/>
      <c r="O180" s="165"/>
      <c r="P180" s="165"/>
      <c r="Q180" s="165"/>
      <c r="R180" s="165"/>
    </row>
    <row r="181" spans="1:18" ht="12.75">
      <c r="A181" s="367">
        <f t="shared" si="29"/>
        <v>164</v>
      </c>
      <c r="B181" s="368">
        <v>10</v>
      </c>
      <c r="C181" s="368"/>
      <c r="D181" s="369"/>
      <c r="E181" s="59" t="s">
        <v>263</v>
      </c>
      <c r="F181" s="49">
        <f>+F182+F200+F207</f>
        <v>0</v>
      </c>
      <c r="G181" s="50">
        <f t="shared" si="20"/>
        <v>58712.7</v>
      </c>
      <c r="H181" s="124">
        <f>+H182+H200+H207</f>
        <v>14807.82</v>
      </c>
      <c r="I181" s="124">
        <f>+I182+I200+I207</f>
        <v>13027.41</v>
      </c>
      <c r="J181" s="124">
        <f>+J182+J200+J207</f>
        <v>14093.470000000001</v>
      </c>
      <c r="K181" s="124">
        <f>+K182+K200+K207</f>
        <v>16784</v>
      </c>
      <c r="L181" s="21"/>
      <c r="M181" s="171">
        <f>M182+M200+M207</f>
        <v>4361.0999999999985</v>
      </c>
      <c r="N181" s="228"/>
      <c r="O181" s="165"/>
      <c r="P181" s="165"/>
      <c r="Q181" s="165"/>
      <c r="R181" s="165"/>
    </row>
    <row r="182" spans="1:18" ht="12.75">
      <c r="A182" s="367">
        <f t="shared" si="29"/>
        <v>165</v>
      </c>
      <c r="B182" s="368"/>
      <c r="C182" s="377" t="s">
        <v>47</v>
      </c>
      <c r="D182" s="369"/>
      <c r="E182" s="85" t="s">
        <v>142</v>
      </c>
      <c r="F182" s="49">
        <f>+F183+F184+F185+F186+F187+F188+F189+F190+F191+F192+F193+F194+F195+F196+F197+F198+F199</f>
        <v>0</v>
      </c>
      <c r="G182" s="50">
        <f t="shared" si="20"/>
        <v>44110.63</v>
      </c>
      <c r="H182" s="124">
        <f>+H183+H184+H185+H186+H187+H188+H189+H190+H191+H192+H193+H194+H195+H196+H197+H198+H199</f>
        <v>11344.039999999999</v>
      </c>
      <c r="I182" s="124">
        <f>+I183+I184+I185+I186+I187+I188+I189+I190+I191+I192+I193+I194+I195+I196+I197+I198+I199</f>
        <v>9507.41</v>
      </c>
      <c r="J182" s="124">
        <f>+J183+J184+J185+J186+J187+J188+J189+J190+J191+J192+J193+J194+J195+J196+J197+J198+J199</f>
        <v>10248.18</v>
      </c>
      <c r="K182" s="124">
        <f>+K183+K184+K185+K186+K187+K188+K189+K190+K191+K192+K193+K194+K195+K196+K197+K198+K199</f>
        <v>13011</v>
      </c>
      <c r="L182" s="21"/>
      <c r="M182" s="171">
        <f>M183+M187+M188+M193+M195</f>
        <v>3630.3099999999986</v>
      </c>
      <c r="N182" s="228"/>
      <c r="O182" s="165"/>
      <c r="P182" s="165"/>
      <c r="Q182" s="165"/>
      <c r="R182" s="165"/>
    </row>
    <row r="183" spans="1:18" ht="12.75">
      <c r="A183" s="367">
        <f t="shared" si="29"/>
        <v>166</v>
      </c>
      <c r="B183" s="368"/>
      <c r="C183" s="368"/>
      <c r="D183" s="379" t="s">
        <v>47</v>
      </c>
      <c r="E183" s="66" t="s">
        <v>144</v>
      </c>
      <c r="F183" s="375"/>
      <c r="G183" s="50">
        <f t="shared" si="20"/>
        <v>32993.63</v>
      </c>
      <c r="H183" s="375">
        <f>'BVC  MS'!H182+'BVC DSP'!H183</f>
        <v>8433.039999999999</v>
      </c>
      <c r="I183" s="375">
        <f>'BVC  MS'!I182+'BVC DSP'!I183</f>
        <v>7123.41</v>
      </c>
      <c r="J183" s="375">
        <f>'BVC  MS'!J182+'BVC DSP'!J183</f>
        <v>7337.18</v>
      </c>
      <c r="K183" s="375">
        <f>'BVC  MS'!K182+'BVC DSP'!K183</f>
        <v>10100</v>
      </c>
      <c r="L183" s="21">
        <v>30158.6</v>
      </c>
      <c r="M183" s="21">
        <f>G183-L183</f>
        <v>2835.029999999999</v>
      </c>
      <c r="N183" s="228"/>
      <c r="O183" s="165"/>
      <c r="P183" s="165"/>
      <c r="Q183" s="165"/>
      <c r="R183" s="165"/>
    </row>
    <row r="184" spans="1:18" ht="12.75">
      <c r="A184" s="367">
        <f t="shared" si="29"/>
        <v>167</v>
      </c>
      <c r="B184" s="368"/>
      <c r="C184" s="368"/>
      <c r="D184" s="379" t="s">
        <v>80</v>
      </c>
      <c r="E184" s="66" t="s">
        <v>146</v>
      </c>
      <c r="F184" s="375"/>
      <c r="G184" s="50">
        <f t="shared" si="20"/>
        <v>0</v>
      </c>
      <c r="H184" s="375">
        <f>'BVC  MS'!H183+'BVC DSP'!H184</f>
        <v>0</v>
      </c>
      <c r="I184" s="375">
        <f>'BVC  MS'!I183+'BVC DSP'!I184</f>
        <v>0</v>
      </c>
      <c r="J184" s="375">
        <f>'BVC  MS'!J183+'BVC DSP'!J184</f>
        <v>0</v>
      </c>
      <c r="K184" s="375">
        <f>'BVC  MS'!K183+'BVC DSP'!K184</f>
        <v>0</v>
      </c>
      <c r="L184" s="21"/>
      <c r="M184" s="21">
        <f aca="true" t="shared" si="33" ref="M184:M247">G184-L184</f>
        <v>0</v>
      </c>
      <c r="N184" s="228"/>
      <c r="O184" s="165"/>
      <c r="P184" s="165"/>
      <c r="Q184" s="165"/>
      <c r="R184" s="165"/>
    </row>
    <row r="185" spans="1:18" ht="12.75">
      <c r="A185" s="367">
        <f t="shared" si="29"/>
        <v>168</v>
      </c>
      <c r="B185" s="368"/>
      <c r="C185" s="368"/>
      <c r="D185" s="379" t="s">
        <v>84</v>
      </c>
      <c r="E185" s="66" t="s">
        <v>148</v>
      </c>
      <c r="F185" s="375"/>
      <c r="G185" s="50">
        <f t="shared" si="20"/>
        <v>0</v>
      </c>
      <c r="H185" s="375">
        <f>'BVC  MS'!H184+'BVC DSP'!H185</f>
        <v>0</v>
      </c>
      <c r="I185" s="375">
        <f>'BVC  MS'!I184+'BVC DSP'!I185</f>
        <v>0</v>
      </c>
      <c r="J185" s="375">
        <f>'BVC  MS'!J184+'BVC DSP'!J185</f>
        <v>0</v>
      </c>
      <c r="K185" s="375">
        <f>'BVC  MS'!K184+'BVC DSP'!K185</f>
        <v>0</v>
      </c>
      <c r="L185" s="21"/>
      <c r="M185" s="21">
        <f t="shared" si="33"/>
        <v>0</v>
      </c>
      <c r="N185" s="228"/>
      <c r="O185" s="165"/>
      <c r="P185" s="165"/>
      <c r="Q185" s="165"/>
      <c r="R185" s="165"/>
    </row>
    <row r="186" spans="1:18" ht="12.75">
      <c r="A186" s="367">
        <f t="shared" si="29"/>
        <v>169</v>
      </c>
      <c r="B186" s="368"/>
      <c r="C186" s="368"/>
      <c r="D186" s="379" t="s">
        <v>108</v>
      </c>
      <c r="E186" s="66" t="s">
        <v>150</v>
      </c>
      <c r="F186" s="375"/>
      <c r="G186" s="50">
        <f t="shared" si="20"/>
        <v>0</v>
      </c>
      <c r="H186" s="375">
        <f>'BVC  MS'!H185+'BVC DSP'!H186</f>
        <v>0</v>
      </c>
      <c r="I186" s="375">
        <f>'BVC  MS'!I185+'BVC DSP'!I186</f>
        <v>0</v>
      </c>
      <c r="J186" s="375">
        <f>'BVC  MS'!J185+'BVC DSP'!J186</f>
        <v>0</v>
      </c>
      <c r="K186" s="375">
        <f>'BVC  MS'!K185+'BVC DSP'!K186</f>
        <v>0</v>
      </c>
      <c r="L186" s="21"/>
      <c r="M186" s="21">
        <f t="shared" si="33"/>
        <v>0</v>
      </c>
      <c r="N186" s="228"/>
      <c r="O186" s="165"/>
      <c r="P186" s="165"/>
      <c r="Q186" s="165"/>
      <c r="R186" s="165"/>
    </row>
    <row r="187" spans="1:18" ht="12.75">
      <c r="A187" s="367">
        <f t="shared" si="29"/>
        <v>170</v>
      </c>
      <c r="B187" s="368"/>
      <c r="C187" s="368"/>
      <c r="D187" s="379" t="s">
        <v>41</v>
      </c>
      <c r="E187" s="66" t="s">
        <v>152</v>
      </c>
      <c r="F187" s="375"/>
      <c r="G187" s="50">
        <f t="shared" si="20"/>
        <v>5313</v>
      </c>
      <c r="H187" s="375">
        <f>'BVC  MS'!H186+'BVC DSP'!H187</f>
        <v>1400</v>
      </c>
      <c r="I187" s="375">
        <f>'BVC  MS'!I186+'BVC DSP'!I187</f>
        <v>1113</v>
      </c>
      <c r="J187" s="375">
        <f>'BVC  MS'!J186+'BVC DSP'!J187</f>
        <v>1400</v>
      </c>
      <c r="K187" s="375">
        <f>'BVC  MS'!K186+'BVC DSP'!K187</f>
        <v>1400</v>
      </c>
      <c r="L187" s="21">
        <v>4815</v>
      </c>
      <c r="M187" s="21">
        <f t="shared" si="33"/>
        <v>498</v>
      </c>
      <c r="N187" s="228"/>
      <c r="O187" s="165"/>
      <c r="P187" s="165"/>
      <c r="Q187" s="165"/>
      <c r="R187" s="165"/>
    </row>
    <row r="188" spans="1:18" ht="12.75">
      <c r="A188" s="367">
        <f t="shared" si="29"/>
        <v>171</v>
      </c>
      <c r="B188" s="368"/>
      <c r="C188" s="368"/>
      <c r="D188" s="379" t="s">
        <v>154</v>
      </c>
      <c r="E188" s="66" t="s">
        <v>155</v>
      </c>
      <c r="F188" s="375"/>
      <c r="G188" s="50">
        <f t="shared" si="20"/>
        <v>3450</v>
      </c>
      <c r="H188" s="375">
        <f>'BVC  MS'!H187+'BVC DSP'!H188</f>
        <v>900</v>
      </c>
      <c r="I188" s="375">
        <f>'BVC  MS'!I187+'BVC DSP'!I188</f>
        <v>750</v>
      </c>
      <c r="J188" s="375">
        <f>'BVC  MS'!J187+'BVC DSP'!J188</f>
        <v>900</v>
      </c>
      <c r="K188" s="375">
        <f>'BVC  MS'!K187+'BVC DSP'!K188</f>
        <v>900</v>
      </c>
      <c r="L188" s="21">
        <v>3232.07</v>
      </c>
      <c r="M188" s="21">
        <f t="shared" si="33"/>
        <v>217.92999999999984</v>
      </c>
      <c r="N188" s="228"/>
      <c r="O188" s="165"/>
      <c r="P188" s="165"/>
      <c r="Q188" s="165"/>
      <c r="R188" s="165"/>
    </row>
    <row r="189" spans="1:18" ht="12.75">
      <c r="A189" s="367">
        <f t="shared" si="29"/>
        <v>172</v>
      </c>
      <c r="B189" s="368"/>
      <c r="C189" s="368"/>
      <c r="D189" s="379" t="s">
        <v>157</v>
      </c>
      <c r="E189" s="66" t="s">
        <v>158</v>
      </c>
      <c r="F189" s="375"/>
      <c r="G189" s="50">
        <f t="shared" si="20"/>
        <v>0</v>
      </c>
      <c r="H189" s="375">
        <f>'BVC  MS'!H188+'BVC DSP'!H189</f>
        <v>0</v>
      </c>
      <c r="I189" s="375">
        <f>'BVC  MS'!I188+'BVC DSP'!I189</f>
        <v>0</v>
      </c>
      <c r="J189" s="375">
        <f>'BVC  MS'!J188+'BVC DSP'!J189</f>
        <v>0</v>
      </c>
      <c r="K189" s="375">
        <f>'BVC  MS'!K188+'BVC DSP'!K189</f>
        <v>0</v>
      </c>
      <c r="L189" s="21"/>
      <c r="M189" s="21">
        <f t="shared" si="33"/>
        <v>0</v>
      </c>
      <c r="N189" s="228"/>
      <c r="O189" s="165"/>
      <c r="P189" s="165"/>
      <c r="Q189" s="165"/>
      <c r="R189" s="165"/>
    </row>
    <row r="190" spans="1:18" ht="12.75">
      <c r="A190" s="367">
        <f t="shared" si="29"/>
        <v>173</v>
      </c>
      <c r="B190" s="368"/>
      <c r="C190" s="368"/>
      <c r="D190" s="379" t="s">
        <v>65</v>
      </c>
      <c r="E190" s="66" t="s">
        <v>159</v>
      </c>
      <c r="F190" s="375"/>
      <c r="G190" s="50">
        <f t="shared" si="20"/>
        <v>0</v>
      </c>
      <c r="H190" s="375">
        <f>'BVC  MS'!H189+'BVC DSP'!H190</f>
        <v>0</v>
      </c>
      <c r="I190" s="375">
        <f>'BVC  MS'!I189+'BVC DSP'!I190</f>
        <v>0</v>
      </c>
      <c r="J190" s="375">
        <f>'BVC  MS'!J189+'BVC DSP'!J190</f>
        <v>0</v>
      </c>
      <c r="K190" s="375">
        <f>'BVC  MS'!K189+'BVC DSP'!K190</f>
        <v>0</v>
      </c>
      <c r="L190" s="21"/>
      <c r="M190" s="21">
        <f t="shared" si="33"/>
        <v>0</v>
      </c>
      <c r="N190" s="228"/>
      <c r="O190" s="165"/>
      <c r="P190" s="165"/>
      <c r="Q190" s="165"/>
      <c r="R190" s="165"/>
    </row>
    <row r="191" spans="1:18" ht="12.75">
      <c r="A191" s="367">
        <f t="shared" si="29"/>
        <v>174</v>
      </c>
      <c r="B191" s="368"/>
      <c r="C191" s="368"/>
      <c r="D191" s="379" t="s">
        <v>160</v>
      </c>
      <c r="E191" s="66" t="s">
        <v>264</v>
      </c>
      <c r="F191" s="375"/>
      <c r="G191" s="50">
        <f aca="true" t="shared" si="34" ref="G191:G254">H191+I191+J191+K191</f>
        <v>0</v>
      </c>
      <c r="H191" s="375">
        <f>'BVC  MS'!H190+'BVC DSP'!H191</f>
        <v>0</v>
      </c>
      <c r="I191" s="375">
        <f>'BVC  MS'!I190+'BVC DSP'!I191</f>
        <v>0</v>
      </c>
      <c r="J191" s="375">
        <f>'BVC  MS'!J190+'BVC DSP'!J191</f>
        <v>0</v>
      </c>
      <c r="K191" s="375">
        <f>'BVC  MS'!K190+'BVC DSP'!K191</f>
        <v>0</v>
      </c>
      <c r="L191" s="21"/>
      <c r="M191" s="21">
        <f t="shared" si="33"/>
        <v>0</v>
      </c>
      <c r="N191" s="228"/>
      <c r="O191" s="165"/>
      <c r="P191" s="165"/>
      <c r="Q191" s="165"/>
      <c r="R191" s="165"/>
    </row>
    <row r="192" spans="1:18" ht="12.75">
      <c r="A192" s="367">
        <f t="shared" si="29"/>
        <v>175</v>
      </c>
      <c r="B192" s="368"/>
      <c r="C192" s="368"/>
      <c r="D192" s="369">
        <v>10</v>
      </c>
      <c r="E192" s="66" t="s">
        <v>162</v>
      </c>
      <c r="F192" s="375"/>
      <c r="G192" s="50">
        <f t="shared" si="34"/>
        <v>0</v>
      </c>
      <c r="H192" s="375">
        <f>'BVC  MS'!H191+'BVC DSP'!H192</f>
        <v>0</v>
      </c>
      <c r="I192" s="375">
        <f>'BVC  MS'!I191+'BVC DSP'!I192</f>
        <v>0</v>
      </c>
      <c r="J192" s="375">
        <f>'BVC  MS'!J191+'BVC DSP'!J192</f>
        <v>0</v>
      </c>
      <c r="K192" s="375">
        <f>'BVC  MS'!K191+'BVC DSP'!K192</f>
        <v>0</v>
      </c>
      <c r="L192" s="21"/>
      <c r="M192" s="21">
        <f t="shared" si="33"/>
        <v>0</v>
      </c>
      <c r="N192" s="228"/>
      <c r="O192" s="165"/>
      <c r="P192" s="165"/>
      <c r="Q192" s="165"/>
      <c r="R192" s="165"/>
    </row>
    <row r="193" spans="1:18" ht="12.75">
      <c r="A193" s="367">
        <f t="shared" si="29"/>
        <v>176</v>
      </c>
      <c r="B193" s="368"/>
      <c r="C193" s="368"/>
      <c r="D193" s="369">
        <v>11</v>
      </c>
      <c r="E193" s="66" t="s">
        <v>163</v>
      </c>
      <c r="F193" s="375"/>
      <c r="G193" s="50">
        <f t="shared" si="34"/>
        <v>2348</v>
      </c>
      <c r="H193" s="375">
        <f>'BVC  MS'!H192+'BVC DSP'!H193</f>
        <v>610</v>
      </c>
      <c r="I193" s="375">
        <f>'BVC  MS'!I192+'BVC DSP'!I193</f>
        <v>520</v>
      </c>
      <c r="J193" s="375">
        <f>'BVC  MS'!J192+'BVC DSP'!J193</f>
        <v>608</v>
      </c>
      <c r="K193" s="375">
        <f>'BVC  MS'!K192+'BVC DSP'!K193</f>
        <v>610</v>
      </c>
      <c r="L193" s="21">
        <v>2272.88</v>
      </c>
      <c r="M193" s="21">
        <f t="shared" si="33"/>
        <v>75.11999999999989</v>
      </c>
      <c r="N193" s="228"/>
      <c r="O193" s="165"/>
      <c r="P193" s="165"/>
      <c r="Q193" s="165"/>
      <c r="R193" s="165"/>
    </row>
    <row r="194" spans="1:18" ht="12.75">
      <c r="A194" s="367">
        <f t="shared" si="29"/>
        <v>177</v>
      </c>
      <c r="B194" s="368"/>
      <c r="C194" s="368"/>
      <c r="D194" s="369">
        <v>12</v>
      </c>
      <c r="E194" s="66" t="s">
        <v>164</v>
      </c>
      <c r="F194" s="375"/>
      <c r="G194" s="50">
        <f t="shared" si="34"/>
        <v>0</v>
      </c>
      <c r="H194" s="375">
        <f>'BVC  MS'!H193+'BVC DSP'!H194</f>
        <v>0</v>
      </c>
      <c r="I194" s="375">
        <f>'BVC  MS'!I193+'BVC DSP'!I194</f>
        <v>0</v>
      </c>
      <c r="J194" s="375">
        <f>'BVC  MS'!J193+'BVC DSP'!J194</f>
        <v>0</v>
      </c>
      <c r="K194" s="375">
        <f>'BVC  MS'!K193+'BVC DSP'!K194</f>
        <v>0</v>
      </c>
      <c r="L194" s="21"/>
      <c r="M194" s="21">
        <f t="shared" si="33"/>
        <v>0</v>
      </c>
      <c r="N194" s="228"/>
      <c r="O194" s="165"/>
      <c r="P194" s="165"/>
      <c r="Q194" s="165"/>
      <c r="R194" s="165"/>
    </row>
    <row r="195" spans="1:18" ht="12.75">
      <c r="A195" s="367">
        <f t="shared" si="29"/>
        <v>178</v>
      </c>
      <c r="B195" s="368"/>
      <c r="C195" s="368"/>
      <c r="D195" s="369">
        <v>13</v>
      </c>
      <c r="E195" s="66" t="s">
        <v>165</v>
      </c>
      <c r="F195" s="375"/>
      <c r="G195" s="50">
        <f t="shared" si="34"/>
        <v>6</v>
      </c>
      <c r="H195" s="375">
        <f>'BVC  MS'!H194+'BVC DSP'!H195</f>
        <v>1</v>
      </c>
      <c r="I195" s="375">
        <f>'BVC  MS'!I194+'BVC DSP'!I195</f>
        <v>1</v>
      </c>
      <c r="J195" s="375">
        <f>'BVC  MS'!J194+'BVC DSP'!J195</f>
        <v>3</v>
      </c>
      <c r="K195" s="375">
        <f>'BVC  MS'!K194+'BVC DSP'!K195</f>
        <v>1</v>
      </c>
      <c r="L195" s="21">
        <v>1.77</v>
      </c>
      <c r="M195" s="21">
        <f t="shared" si="33"/>
        <v>4.23</v>
      </c>
      <c r="N195" s="228"/>
      <c r="O195" s="165"/>
      <c r="P195" s="165"/>
      <c r="Q195" s="165"/>
      <c r="R195" s="165"/>
    </row>
    <row r="196" spans="1:18" ht="12.75">
      <c r="A196" s="367">
        <f t="shared" si="29"/>
        <v>179</v>
      </c>
      <c r="B196" s="368"/>
      <c r="C196" s="368"/>
      <c r="D196" s="369">
        <v>14</v>
      </c>
      <c r="E196" s="66" t="s">
        <v>166</v>
      </c>
      <c r="F196" s="375"/>
      <c r="G196" s="50">
        <f t="shared" si="34"/>
        <v>0</v>
      </c>
      <c r="H196" s="375">
        <f>'BVC  MS'!H195+'BVC DSP'!H196</f>
        <v>0</v>
      </c>
      <c r="I196" s="375">
        <f>'BVC  MS'!I195+'BVC DSP'!I196</f>
        <v>0</v>
      </c>
      <c r="J196" s="375">
        <f>'BVC  MS'!J195+'BVC DSP'!J196</f>
        <v>0</v>
      </c>
      <c r="K196" s="375">
        <f>'BVC  MS'!K195+'BVC DSP'!K196</f>
        <v>0</v>
      </c>
      <c r="L196" s="21"/>
      <c r="M196" s="21">
        <f t="shared" si="33"/>
        <v>0</v>
      </c>
      <c r="N196" s="228"/>
      <c r="O196" s="165"/>
      <c r="P196" s="165"/>
      <c r="Q196" s="165"/>
      <c r="R196" s="165"/>
    </row>
    <row r="197" spans="1:18" ht="12.75">
      <c r="A197" s="367">
        <f t="shared" si="29"/>
        <v>180</v>
      </c>
      <c r="B197" s="368"/>
      <c r="C197" s="368"/>
      <c r="D197" s="369">
        <v>15</v>
      </c>
      <c r="E197" s="66" t="s">
        <v>167</v>
      </c>
      <c r="F197" s="375"/>
      <c r="G197" s="50">
        <f t="shared" si="34"/>
        <v>0</v>
      </c>
      <c r="H197" s="375">
        <f>'BVC  MS'!H196+'BVC DSP'!H197</f>
        <v>0</v>
      </c>
      <c r="I197" s="375">
        <f>'BVC  MS'!I196+'BVC DSP'!I197</f>
        <v>0</v>
      </c>
      <c r="J197" s="375">
        <f>'BVC  MS'!J196+'BVC DSP'!J197</f>
        <v>0</v>
      </c>
      <c r="K197" s="375">
        <f>'BVC  MS'!K196+'BVC DSP'!K197</f>
        <v>0</v>
      </c>
      <c r="L197" s="21"/>
      <c r="M197" s="21">
        <f t="shared" si="33"/>
        <v>0</v>
      </c>
      <c r="N197" s="228"/>
      <c r="O197" s="165"/>
      <c r="P197" s="165"/>
      <c r="Q197" s="165"/>
      <c r="R197" s="165"/>
    </row>
    <row r="198" spans="1:18" ht="12.75">
      <c r="A198" s="367">
        <f t="shared" si="29"/>
        <v>181</v>
      </c>
      <c r="B198" s="368"/>
      <c r="C198" s="368"/>
      <c r="D198" s="369">
        <v>16</v>
      </c>
      <c r="E198" s="66" t="s">
        <v>168</v>
      </c>
      <c r="F198" s="375"/>
      <c r="G198" s="50">
        <f t="shared" si="34"/>
        <v>0</v>
      </c>
      <c r="H198" s="375">
        <f>'BVC  MS'!H197+'BVC DSP'!H198</f>
        <v>0</v>
      </c>
      <c r="I198" s="375">
        <f>'BVC  MS'!I197+'BVC DSP'!I198</f>
        <v>0</v>
      </c>
      <c r="J198" s="375">
        <f>'BVC  MS'!J197+'BVC DSP'!J198</f>
        <v>0</v>
      </c>
      <c r="K198" s="375">
        <f>'BVC  MS'!K197+'BVC DSP'!K198</f>
        <v>0</v>
      </c>
      <c r="L198" s="21"/>
      <c r="M198" s="21">
        <f t="shared" si="33"/>
        <v>0</v>
      </c>
      <c r="N198" s="228"/>
      <c r="O198" s="165"/>
      <c r="P198" s="165"/>
      <c r="Q198" s="165"/>
      <c r="R198" s="165"/>
    </row>
    <row r="199" spans="1:18" ht="12.75">
      <c r="A199" s="367">
        <f t="shared" si="29"/>
        <v>182</v>
      </c>
      <c r="B199" s="368"/>
      <c r="C199" s="368"/>
      <c r="D199" s="369">
        <v>30</v>
      </c>
      <c r="E199" s="66" t="s">
        <v>169</v>
      </c>
      <c r="F199" s="375"/>
      <c r="G199" s="50">
        <f t="shared" si="34"/>
        <v>0</v>
      </c>
      <c r="H199" s="375">
        <f>'BVC  MS'!H198+'BVC DSP'!H199</f>
        <v>0</v>
      </c>
      <c r="I199" s="375">
        <f>'BVC  MS'!I198+'BVC DSP'!I199</f>
        <v>0</v>
      </c>
      <c r="J199" s="375">
        <f>'BVC  MS'!J198+'BVC DSP'!J199</f>
        <v>0</v>
      </c>
      <c r="K199" s="375">
        <f>'BVC  MS'!K198+'BVC DSP'!K199</f>
        <v>0</v>
      </c>
      <c r="L199" s="21"/>
      <c r="M199" s="21">
        <f t="shared" si="33"/>
        <v>0</v>
      </c>
      <c r="N199" s="228"/>
      <c r="O199" s="165"/>
      <c r="P199" s="165"/>
      <c r="Q199" s="165"/>
      <c r="R199" s="165"/>
    </row>
    <row r="200" spans="1:18" ht="12.75">
      <c r="A200" s="367">
        <f t="shared" si="29"/>
        <v>183</v>
      </c>
      <c r="B200" s="368"/>
      <c r="C200" s="377" t="s">
        <v>80</v>
      </c>
      <c r="D200" s="369"/>
      <c r="E200" s="85" t="s">
        <v>170</v>
      </c>
      <c r="F200" s="49">
        <f>+F201+F202+F203+F204+F205+F206</f>
        <v>0</v>
      </c>
      <c r="G200" s="50">
        <f t="shared" si="34"/>
        <v>2832.0699999999997</v>
      </c>
      <c r="H200" s="49">
        <f>+H201+H202+H203+H204+H205+H206</f>
        <v>540.78</v>
      </c>
      <c r="I200" s="49">
        <f>+I201+I202+I203+I204+I205+I206</f>
        <v>685</v>
      </c>
      <c r="J200" s="49">
        <f>+J201+J202+J203+J204+J205+J206</f>
        <v>826.29</v>
      </c>
      <c r="K200" s="49">
        <f>+K201+K202+K203+K204+K205+K206</f>
        <v>780</v>
      </c>
      <c r="L200" s="21"/>
      <c r="M200" s="171">
        <f>M201</f>
        <v>254.73999999999978</v>
      </c>
      <c r="N200" s="228"/>
      <c r="O200" s="165"/>
      <c r="P200" s="165"/>
      <c r="Q200" s="165"/>
      <c r="R200" s="165"/>
    </row>
    <row r="201" spans="1:18" ht="12.75">
      <c r="A201" s="367">
        <f t="shared" si="29"/>
        <v>184</v>
      </c>
      <c r="B201" s="368"/>
      <c r="C201" s="368"/>
      <c r="D201" s="379" t="s">
        <v>47</v>
      </c>
      <c r="E201" s="66" t="s">
        <v>265</v>
      </c>
      <c r="F201" s="375"/>
      <c r="G201" s="50">
        <f t="shared" si="34"/>
        <v>2832.0699999999997</v>
      </c>
      <c r="H201" s="375">
        <f>'BVC  MS'!H200+'BVC DSP'!H201</f>
        <v>540.78</v>
      </c>
      <c r="I201" s="375">
        <f>'BVC  MS'!I200+'BVC DSP'!I201</f>
        <v>685</v>
      </c>
      <c r="J201" s="375">
        <f>'BVC  MS'!J200+'BVC DSP'!J201</f>
        <v>826.29</v>
      </c>
      <c r="K201" s="375">
        <f>'BVC  MS'!K200+'BVC DSP'!K201</f>
        <v>780</v>
      </c>
      <c r="L201" s="21">
        <v>2577.33</v>
      </c>
      <c r="M201" s="21">
        <f t="shared" si="33"/>
        <v>254.73999999999978</v>
      </c>
      <c r="N201" s="228"/>
      <c r="O201" s="165"/>
      <c r="P201" s="165"/>
      <c r="Q201" s="165"/>
      <c r="R201" s="165"/>
    </row>
    <row r="202" spans="1:18" ht="12.75">
      <c r="A202" s="367">
        <f t="shared" si="29"/>
        <v>185</v>
      </c>
      <c r="B202" s="368"/>
      <c r="C202" s="368"/>
      <c r="D202" s="379" t="s">
        <v>80</v>
      </c>
      <c r="E202" s="66" t="s">
        <v>266</v>
      </c>
      <c r="F202" s="375"/>
      <c r="G202" s="50">
        <f t="shared" si="34"/>
        <v>0</v>
      </c>
      <c r="H202" s="375">
        <f>'BVC  MS'!H201+'BVC DSP'!H202</f>
        <v>0</v>
      </c>
      <c r="I202" s="375">
        <f>'BVC  MS'!I201+'BVC DSP'!I202</f>
        <v>0</v>
      </c>
      <c r="J202" s="375">
        <f>'BVC  MS'!J201+'BVC DSP'!J202</f>
        <v>0</v>
      </c>
      <c r="K202" s="375">
        <f>'BVC  MS'!K201+'BVC DSP'!K202</f>
        <v>0</v>
      </c>
      <c r="L202" s="21"/>
      <c r="M202" s="21">
        <f t="shared" si="33"/>
        <v>0</v>
      </c>
      <c r="N202" s="228"/>
      <c r="O202" s="165"/>
      <c r="P202" s="165"/>
      <c r="Q202" s="165"/>
      <c r="R202" s="165"/>
    </row>
    <row r="203" spans="1:18" ht="12.75">
      <c r="A203" s="367">
        <f t="shared" si="29"/>
        <v>186</v>
      </c>
      <c r="B203" s="368"/>
      <c r="C203" s="368"/>
      <c r="D203" s="379" t="s">
        <v>84</v>
      </c>
      <c r="E203" s="66" t="s">
        <v>173</v>
      </c>
      <c r="F203" s="375"/>
      <c r="G203" s="50">
        <f t="shared" si="34"/>
        <v>0</v>
      </c>
      <c r="H203" s="375">
        <f>'BVC  MS'!H202+'BVC DSP'!H203</f>
        <v>0</v>
      </c>
      <c r="I203" s="375">
        <f>'BVC  MS'!I202+'BVC DSP'!I203</f>
        <v>0</v>
      </c>
      <c r="J203" s="375">
        <f>'BVC  MS'!J202+'BVC DSP'!J203</f>
        <v>0</v>
      </c>
      <c r="K203" s="375">
        <f>'BVC  MS'!K202+'BVC DSP'!K203</f>
        <v>0</v>
      </c>
      <c r="L203" s="21"/>
      <c r="M203" s="21">
        <f t="shared" si="33"/>
        <v>0</v>
      </c>
      <c r="N203" s="228"/>
      <c r="O203" s="165"/>
      <c r="P203" s="165"/>
      <c r="Q203" s="165"/>
      <c r="R203" s="165"/>
    </row>
    <row r="204" spans="1:18" ht="12.75">
      <c r="A204" s="367">
        <f t="shared" si="29"/>
        <v>187</v>
      </c>
      <c r="B204" s="368"/>
      <c r="C204" s="368"/>
      <c r="D204" s="379" t="s">
        <v>108</v>
      </c>
      <c r="E204" s="66" t="s">
        <v>267</v>
      </c>
      <c r="F204" s="375"/>
      <c r="G204" s="50">
        <f t="shared" si="34"/>
        <v>0</v>
      </c>
      <c r="H204" s="375">
        <f>'BVC  MS'!H203+'BVC DSP'!H204</f>
        <v>0</v>
      </c>
      <c r="I204" s="375">
        <f>'BVC  MS'!I203+'BVC DSP'!I204</f>
        <v>0</v>
      </c>
      <c r="J204" s="375">
        <f>'BVC  MS'!J203+'BVC DSP'!J204</f>
        <v>0</v>
      </c>
      <c r="K204" s="375">
        <f>'BVC  MS'!K203+'BVC DSP'!K204</f>
        <v>0</v>
      </c>
      <c r="L204" s="21"/>
      <c r="M204" s="21">
        <f t="shared" si="33"/>
        <v>0</v>
      </c>
      <c r="N204" s="228"/>
      <c r="O204" s="165"/>
      <c r="P204" s="165"/>
      <c r="Q204" s="165"/>
      <c r="R204" s="165"/>
    </row>
    <row r="205" spans="1:18" ht="12.75">
      <c r="A205" s="367">
        <f t="shared" si="29"/>
        <v>188</v>
      </c>
      <c r="B205" s="368"/>
      <c r="C205" s="368"/>
      <c r="D205" s="379" t="s">
        <v>41</v>
      </c>
      <c r="E205" s="66" t="s">
        <v>268</v>
      </c>
      <c r="F205" s="375"/>
      <c r="G205" s="50">
        <f t="shared" si="34"/>
        <v>0</v>
      </c>
      <c r="H205" s="375">
        <f>'BVC  MS'!H204+'BVC DSP'!H205</f>
        <v>0</v>
      </c>
      <c r="I205" s="375">
        <f>'BVC  MS'!I204+'BVC DSP'!I205</f>
        <v>0</v>
      </c>
      <c r="J205" s="375">
        <f>'BVC  MS'!J204+'BVC DSP'!J205</f>
        <v>0</v>
      </c>
      <c r="K205" s="375">
        <f>'BVC  MS'!K204+'BVC DSP'!K205</f>
        <v>0</v>
      </c>
      <c r="L205" s="21"/>
      <c r="M205" s="21">
        <f t="shared" si="33"/>
        <v>0</v>
      </c>
      <c r="N205" s="228"/>
      <c r="O205" s="165"/>
      <c r="P205" s="165"/>
      <c r="Q205" s="165"/>
      <c r="R205" s="165"/>
    </row>
    <row r="206" spans="1:18" ht="12.75">
      <c r="A206" s="367">
        <f t="shared" si="29"/>
        <v>189</v>
      </c>
      <c r="B206" s="368"/>
      <c r="C206" s="368"/>
      <c r="D206" s="369">
        <v>30</v>
      </c>
      <c r="E206" s="66" t="s">
        <v>176</v>
      </c>
      <c r="F206" s="375"/>
      <c r="G206" s="50">
        <f t="shared" si="34"/>
        <v>0</v>
      </c>
      <c r="H206" s="375">
        <f>'BVC  MS'!H205+'BVC DSP'!H206</f>
        <v>0</v>
      </c>
      <c r="I206" s="375">
        <f>'BVC  MS'!I205+'BVC DSP'!I206</f>
        <v>0</v>
      </c>
      <c r="J206" s="375">
        <f>'BVC  MS'!J205+'BVC DSP'!J206</f>
        <v>0</v>
      </c>
      <c r="K206" s="375">
        <f>'BVC  MS'!K205+'BVC DSP'!K206</f>
        <v>0</v>
      </c>
      <c r="L206" s="21"/>
      <c r="M206" s="21">
        <f t="shared" si="33"/>
        <v>0</v>
      </c>
      <c r="N206" s="228"/>
      <c r="O206" s="165"/>
      <c r="P206" s="165"/>
      <c r="Q206" s="165"/>
      <c r="R206" s="165"/>
    </row>
    <row r="207" spans="1:18" ht="12.75">
      <c r="A207" s="367">
        <f t="shared" si="29"/>
        <v>190</v>
      </c>
      <c r="B207" s="368"/>
      <c r="C207" s="377" t="s">
        <v>84</v>
      </c>
      <c r="D207" s="369"/>
      <c r="E207" s="85" t="s">
        <v>177</v>
      </c>
      <c r="F207" s="49">
        <f>+F208+F209+F210+F211+F212+F213+F214</f>
        <v>0</v>
      </c>
      <c r="G207" s="50">
        <f t="shared" si="34"/>
        <v>11770</v>
      </c>
      <c r="H207" s="49">
        <f>+H208+H209+H210+H211+H212+H213+H214</f>
        <v>2923</v>
      </c>
      <c r="I207" s="49">
        <f>+I208+I209+I210+I211+I212+I213+I214</f>
        <v>2835</v>
      </c>
      <c r="J207" s="49">
        <f>+J208+J209+J210+J211+J212+J213+J214</f>
        <v>3019</v>
      </c>
      <c r="K207" s="49">
        <f>+K208+K209+K210+K211+K212+K213+K214</f>
        <v>2993</v>
      </c>
      <c r="L207" s="21"/>
      <c r="M207" s="171">
        <f>M208+M209+M210+M211+M212+M213+M214</f>
        <v>476.04999999999984</v>
      </c>
      <c r="N207" s="228"/>
      <c r="O207" s="204"/>
      <c r="P207" s="165"/>
      <c r="Q207" s="165"/>
      <c r="R207" s="165"/>
    </row>
    <row r="208" spans="1:18" ht="12.75">
      <c r="A208" s="367">
        <f t="shared" si="29"/>
        <v>191</v>
      </c>
      <c r="B208" s="368"/>
      <c r="C208" s="368"/>
      <c r="D208" s="379" t="s">
        <v>47</v>
      </c>
      <c r="E208" s="66" t="s">
        <v>178</v>
      </c>
      <c r="F208" s="375"/>
      <c r="G208" s="50">
        <f t="shared" si="34"/>
        <v>9010</v>
      </c>
      <c r="H208" s="375">
        <f>'BVC  MS'!H207+'BVC DSP'!H208</f>
        <v>2280</v>
      </c>
      <c r="I208" s="375">
        <f>'BVC  MS'!I207+'BVC DSP'!I208</f>
        <v>2170</v>
      </c>
      <c r="J208" s="375">
        <f>'BVC  MS'!J207+'BVC DSP'!J208</f>
        <v>2280</v>
      </c>
      <c r="K208" s="375">
        <f>'BVC  MS'!K207+'BVC DSP'!K208</f>
        <v>2280</v>
      </c>
      <c r="L208" s="21">
        <v>8675.18</v>
      </c>
      <c r="M208" s="21">
        <f t="shared" si="33"/>
        <v>334.8199999999997</v>
      </c>
      <c r="N208" s="228"/>
      <c r="O208" s="205"/>
      <c r="P208" s="165"/>
      <c r="Q208" s="165"/>
      <c r="R208" s="165"/>
    </row>
    <row r="209" spans="1:18" ht="12.75">
      <c r="A209" s="367">
        <f t="shared" si="29"/>
        <v>192</v>
      </c>
      <c r="B209" s="368"/>
      <c r="C209" s="368"/>
      <c r="D209" s="379" t="s">
        <v>80</v>
      </c>
      <c r="E209" s="66" t="s">
        <v>179</v>
      </c>
      <c r="F209" s="375"/>
      <c r="G209" s="50">
        <f t="shared" si="34"/>
        <v>212</v>
      </c>
      <c r="H209" s="375">
        <f>'BVC  MS'!H208+'BVC DSP'!H209</f>
        <v>53</v>
      </c>
      <c r="I209" s="375">
        <f>'BVC  MS'!I208+'BVC DSP'!I209</f>
        <v>53</v>
      </c>
      <c r="J209" s="375">
        <f>'BVC  MS'!J208+'BVC DSP'!J209</f>
        <v>53</v>
      </c>
      <c r="K209" s="375">
        <f>'BVC  MS'!K208+'BVC DSP'!K209</f>
        <v>53</v>
      </c>
      <c r="L209" s="21">
        <v>199.61</v>
      </c>
      <c r="M209" s="21">
        <f t="shared" si="33"/>
        <v>12.389999999999986</v>
      </c>
      <c r="N209" s="228"/>
      <c r="O209" s="205"/>
      <c r="P209" s="165"/>
      <c r="Q209" s="165"/>
      <c r="R209" s="165"/>
    </row>
    <row r="210" spans="1:61" ht="18">
      <c r="A210" s="367">
        <f t="shared" si="29"/>
        <v>193</v>
      </c>
      <c r="B210" s="368"/>
      <c r="C210" s="368"/>
      <c r="D210" s="379" t="s">
        <v>84</v>
      </c>
      <c r="E210" s="66" t="s">
        <v>180</v>
      </c>
      <c r="F210" s="375"/>
      <c r="G210" s="50">
        <f t="shared" si="34"/>
        <v>2190</v>
      </c>
      <c r="H210" s="375">
        <f>'BVC  MS'!H209+'BVC DSP'!H210</f>
        <v>560</v>
      </c>
      <c r="I210" s="375">
        <f>'BVC  MS'!I209+'BVC DSP'!I210</f>
        <v>510</v>
      </c>
      <c r="J210" s="375">
        <f>'BVC  MS'!J209+'BVC DSP'!J210</f>
        <v>560</v>
      </c>
      <c r="K210" s="375">
        <f>'BVC  MS'!K209+'BVC DSP'!K210</f>
        <v>560</v>
      </c>
      <c r="L210" s="21">
        <v>2103.91</v>
      </c>
      <c r="M210" s="21">
        <f t="shared" si="33"/>
        <v>86.09000000000015</v>
      </c>
      <c r="N210" s="228"/>
      <c r="O210" s="205"/>
      <c r="P210" s="165"/>
      <c r="Q210" s="165"/>
      <c r="R210" s="165"/>
      <c r="BC210" s="321"/>
      <c r="BD210" s="321"/>
      <c r="BE210" s="321"/>
      <c r="BF210" s="321"/>
      <c r="BG210" s="321"/>
      <c r="BH210" s="321"/>
      <c r="BI210" s="321"/>
    </row>
    <row r="211" spans="1:61" ht="18">
      <c r="A211" s="367">
        <f t="shared" si="29"/>
        <v>194</v>
      </c>
      <c r="B211" s="368"/>
      <c r="C211" s="368"/>
      <c r="D211" s="379" t="s">
        <v>108</v>
      </c>
      <c r="E211" s="66" t="s">
        <v>269</v>
      </c>
      <c r="F211" s="375"/>
      <c r="G211" s="50">
        <f t="shared" si="34"/>
        <v>120</v>
      </c>
      <c r="H211" s="375">
        <f>'BVC  MS'!H210+'BVC DSP'!H211</f>
        <v>30</v>
      </c>
      <c r="I211" s="375">
        <f>'BVC  MS'!I210+'BVC DSP'!I211</f>
        <v>30</v>
      </c>
      <c r="J211" s="375">
        <f>'BVC  MS'!J210+'BVC DSP'!J211</f>
        <v>30</v>
      </c>
      <c r="K211" s="375">
        <f>'BVC  MS'!K210+'BVC DSP'!K211</f>
        <v>30</v>
      </c>
      <c r="L211" s="21">
        <v>113.32</v>
      </c>
      <c r="M211" s="21">
        <f t="shared" si="33"/>
        <v>6.680000000000007</v>
      </c>
      <c r="N211" s="228"/>
      <c r="O211" s="205"/>
      <c r="P211" s="165"/>
      <c r="Q211" s="165"/>
      <c r="R211" s="165"/>
      <c r="BC211" s="321"/>
      <c r="BD211" s="321"/>
      <c r="BE211" s="322" t="s">
        <v>362</v>
      </c>
      <c r="BF211" s="322"/>
      <c r="BG211" s="322"/>
      <c r="BH211" s="321"/>
      <c r="BI211" s="321"/>
    </row>
    <row r="212" spans="1:61" ht="18">
      <c r="A212" s="367">
        <f t="shared" si="29"/>
        <v>195</v>
      </c>
      <c r="B212" s="368"/>
      <c r="C212" s="368"/>
      <c r="D212" s="379" t="s">
        <v>41</v>
      </c>
      <c r="E212" s="66" t="s">
        <v>182</v>
      </c>
      <c r="F212" s="375"/>
      <c r="G212" s="50">
        <f t="shared" si="34"/>
        <v>0</v>
      </c>
      <c r="H212" s="375">
        <f>'BVC  MS'!H211+'BVC DSP'!H212</f>
        <v>0</v>
      </c>
      <c r="I212" s="375">
        <f>'BVC  MS'!I211+'BVC DSP'!I212</f>
        <v>0</v>
      </c>
      <c r="J212" s="375">
        <f>'BVC  MS'!J211+'BVC DSP'!J212</f>
        <v>0</v>
      </c>
      <c r="K212" s="375">
        <f>'BVC  MS'!K211+'BVC DSP'!K212</f>
        <v>0</v>
      </c>
      <c r="L212" s="21"/>
      <c r="M212" s="21">
        <f t="shared" si="33"/>
        <v>0</v>
      </c>
      <c r="N212" s="228"/>
      <c r="O212" s="205"/>
      <c r="P212" s="165"/>
      <c r="Q212" s="165"/>
      <c r="R212" s="165"/>
      <c r="BC212" s="321"/>
      <c r="BD212" s="321"/>
      <c r="BE212" s="322" t="s">
        <v>354</v>
      </c>
      <c r="BF212" s="322"/>
      <c r="BG212" s="322"/>
      <c r="BH212" s="321"/>
      <c r="BI212" s="323" t="s">
        <v>355</v>
      </c>
    </row>
    <row r="213" spans="1:61" ht="18">
      <c r="A213" s="367">
        <f t="shared" si="29"/>
        <v>196</v>
      </c>
      <c r="B213" s="368"/>
      <c r="C213" s="368"/>
      <c r="D213" s="379" t="s">
        <v>154</v>
      </c>
      <c r="E213" s="66" t="s">
        <v>183</v>
      </c>
      <c r="F213" s="375"/>
      <c r="G213" s="50">
        <f t="shared" si="34"/>
        <v>238</v>
      </c>
      <c r="H213" s="375">
        <f>'BVC  MS'!H212+'BVC DSP'!H213</f>
        <v>0</v>
      </c>
      <c r="I213" s="375">
        <f>'BVC  MS'!I212+'BVC DSP'!I213</f>
        <v>72</v>
      </c>
      <c r="J213" s="375">
        <f>'BVC  MS'!J212+'BVC DSP'!J213</f>
        <v>96</v>
      </c>
      <c r="K213" s="375">
        <f>'BVC  MS'!K212+'BVC DSP'!K213</f>
        <v>70</v>
      </c>
      <c r="L213" s="21">
        <v>201.93</v>
      </c>
      <c r="M213" s="21">
        <f t="shared" si="33"/>
        <v>36.06999999999999</v>
      </c>
      <c r="N213" s="228"/>
      <c r="O213" s="205"/>
      <c r="P213" s="165"/>
      <c r="Q213" s="165"/>
      <c r="R213" s="165"/>
      <c r="BC213" s="321"/>
      <c r="BD213" s="321"/>
      <c r="BE213" s="321"/>
      <c r="BF213" s="321"/>
      <c r="BG213" s="324" t="s">
        <v>363</v>
      </c>
      <c r="BH213" s="324" t="s">
        <v>364</v>
      </c>
      <c r="BI213" s="324" t="s">
        <v>365</v>
      </c>
    </row>
    <row r="214" spans="1:61" ht="18">
      <c r="A214" s="367">
        <f t="shared" si="29"/>
        <v>197</v>
      </c>
      <c r="B214" s="368"/>
      <c r="C214" s="368"/>
      <c r="D214" s="379" t="s">
        <v>157</v>
      </c>
      <c r="E214" s="66" t="s">
        <v>184</v>
      </c>
      <c r="F214" s="375"/>
      <c r="G214" s="50">
        <f t="shared" si="34"/>
        <v>0</v>
      </c>
      <c r="H214" s="375">
        <f>'BVC  MS'!H213+'BVC DSP'!H214</f>
        <v>0</v>
      </c>
      <c r="I214" s="375">
        <f>'BVC  MS'!I213+'BVC DSP'!I214</f>
        <v>0</v>
      </c>
      <c r="J214" s="375">
        <f>'BVC  MS'!J213+'BVC DSP'!J214</f>
        <v>0</v>
      </c>
      <c r="K214" s="375">
        <f>'BVC  MS'!K213+'BVC DSP'!K214</f>
        <v>0</v>
      </c>
      <c r="L214" s="21"/>
      <c r="M214" s="21">
        <f t="shared" si="33"/>
        <v>0</v>
      </c>
      <c r="N214" s="228"/>
      <c r="O214" s="205"/>
      <c r="P214" s="165"/>
      <c r="Q214" s="165"/>
      <c r="R214" s="165"/>
      <c r="BC214" s="324">
        <v>20</v>
      </c>
      <c r="BD214" s="324"/>
      <c r="BE214" s="324"/>
      <c r="BF214" s="324" t="s">
        <v>270</v>
      </c>
      <c r="BG214" s="325">
        <v>34113990</v>
      </c>
      <c r="BH214" s="325">
        <v>35883780</v>
      </c>
      <c r="BI214" s="325">
        <f>BH214-BG214</f>
        <v>1769790</v>
      </c>
    </row>
    <row r="215" spans="1:61" ht="18">
      <c r="A215" s="367">
        <f t="shared" si="29"/>
        <v>198</v>
      </c>
      <c r="B215" s="368">
        <v>20</v>
      </c>
      <c r="C215" s="368"/>
      <c r="D215" s="369"/>
      <c r="E215" s="85" t="s">
        <v>270</v>
      </c>
      <c r="F215" s="49">
        <f>+F216+F227+F228+F231+F236+F243+F244+F245+F246+F247+F248+F249+F251+F240</f>
        <v>0</v>
      </c>
      <c r="G215" s="50">
        <f t="shared" si="34"/>
        <v>50728.520000000004</v>
      </c>
      <c r="H215" s="124">
        <f>+H216+H227+H228+H231+H236+H243+H244+H245+H246+H247+H248+H249+H251+H240</f>
        <v>9485.540000000003</v>
      </c>
      <c r="I215" s="124">
        <f>+I216+I227+I228+I231+I236+I243+I244+I245+I246+I247+I248+I249+I251+I240</f>
        <v>7784.8099999999995</v>
      </c>
      <c r="J215" s="124">
        <f>+J216+J227+J228+J231+J236+J243+J244+J245+J246+J247+J248+J249+J251+J240</f>
        <v>15810.890000000001</v>
      </c>
      <c r="K215" s="124">
        <f>+K216+K227+K228+K231+K236+K243+K244+K245+K246+K247+K248+K249+K251+K240</f>
        <v>17647.28</v>
      </c>
      <c r="L215" s="21" t="s">
        <v>348</v>
      </c>
      <c r="M215" s="171">
        <f>M216+M228+M231+M236+M240+M243+M244+M245+M246+M247+M248+M249+M250+M251</f>
        <v>8879.329999999998</v>
      </c>
      <c r="N215" s="228" t="s">
        <v>380</v>
      </c>
      <c r="O215" s="205" t="s">
        <v>381</v>
      </c>
      <c r="P215" s="165"/>
      <c r="Q215" s="165"/>
      <c r="R215" s="165"/>
      <c r="BC215" s="326"/>
      <c r="BD215" s="329" t="s">
        <v>47</v>
      </c>
      <c r="BE215" s="329"/>
      <c r="BF215" s="329" t="s">
        <v>130</v>
      </c>
      <c r="BG215" s="330">
        <v>10257580</v>
      </c>
      <c r="BH215" s="330">
        <v>10316580</v>
      </c>
      <c r="BI215" s="330">
        <f aca="true" t="shared" si="35" ref="BI215:BI269">BH215-BG215</f>
        <v>59000</v>
      </c>
    </row>
    <row r="216" spans="1:61" ht="18">
      <c r="A216" s="367">
        <f t="shared" si="29"/>
        <v>199</v>
      </c>
      <c r="B216" s="368"/>
      <c r="C216" s="377" t="s">
        <v>47</v>
      </c>
      <c r="D216" s="369"/>
      <c r="E216" s="85" t="s">
        <v>130</v>
      </c>
      <c r="F216" s="49">
        <f>+F217+F218+F219+F220+F221+F222+F223+F224+F225+F226</f>
        <v>0</v>
      </c>
      <c r="G216" s="50">
        <f t="shared" si="34"/>
        <v>14528.25</v>
      </c>
      <c r="H216" s="124">
        <f>+H217+H218+H219+H220+H221+H222+H223+H224+H225+H226</f>
        <v>2720.1499999999996</v>
      </c>
      <c r="I216" s="124">
        <f>+I217+I218+I219+I220+I221+I222+I223+I224+I225+I226</f>
        <v>2521.1499999999996</v>
      </c>
      <c r="J216" s="124">
        <f>+J217+J218+J219+J220+J221+J222+J223+J224+J225+J226</f>
        <v>2517.08</v>
      </c>
      <c r="K216" s="124">
        <f>+K217+K218+K219+K220+K221+K222+K223+K224+K225+K226</f>
        <v>6769.870000000001</v>
      </c>
      <c r="L216" s="21"/>
      <c r="M216" s="171">
        <f>M217+M218+M219+M220+M221+M222+M223+M224+M225+M226+M227</f>
        <v>3214.8299999999986</v>
      </c>
      <c r="N216" s="228"/>
      <c r="O216" s="205"/>
      <c r="P216" s="165"/>
      <c r="Q216" s="165"/>
      <c r="R216" s="165"/>
      <c r="BC216" s="326"/>
      <c r="BD216" s="326"/>
      <c r="BE216" s="326" t="s">
        <v>47</v>
      </c>
      <c r="BF216" s="326" t="s">
        <v>186</v>
      </c>
      <c r="BG216" s="327">
        <v>276080</v>
      </c>
      <c r="BH216" s="327">
        <v>276080</v>
      </c>
      <c r="BI216" s="327">
        <f t="shared" si="35"/>
        <v>0</v>
      </c>
    </row>
    <row r="217" spans="1:61" ht="18">
      <c r="A217" s="367">
        <f t="shared" si="29"/>
        <v>200</v>
      </c>
      <c r="B217" s="368"/>
      <c r="C217" s="368"/>
      <c r="D217" s="379" t="s">
        <v>47</v>
      </c>
      <c r="E217" s="66" t="s">
        <v>186</v>
      </c>
      <c r="F217" s="375"/>
      <c r="G217" s="50">
        <f t="shared" si="34"/>
        <v>276.08</v>
      </c>
      <c r="H217" s="375">
        <f>'BVC  MS'!H216+'BVC DSP'!H217</f>
        <v>69.02</v>
      </c>
      <c r="I217" s="375">
        <f>'BVC  MS'!I216+'BVC DSP'!I217</f>
        <v>69.02</v>
      </c>
      <c r="J217" s="375">
        <f>'BVC  MS'!J216+'BVC DSP'!J217</f>
        <v>69.02</v>
      </c>
      <c r="K217" s="375">
        <f>'BVC  MS'!K216+'BVC DSP'!K217</f>
        <v>69.02</v>
      </c>
      <c r="L217" s="21">
        <v>221.6</v>
      </c>
      <c r="M217" s="21">
        <f t="shared" si="33"/>
        <v>54.47999999999999</v>
      </c>
      <c r="N217" s="228">
        <v>129.73</v>
      </c>
      <c r="O217" s="205">
        <f>G217-N217</f>
        <v>146.35</v>
      </c>
      <c r="P217" s="165"/>
      <c r="Q217" s="165"/>
      <c r="R217" s="165"/>
      <c r="BC217" s="326"/>
      <c r="BD217" s="326"/>
      <c r="BE217" s="326" t="s">
        <v>80</v>
      </c>
      <c r="BF217" s="326" t="s">
        <v>187</v>
      </c>
      <c r="BG217" s="327">
        <v>249200</v>
      </c>
      <c r="BH217" s="327">
        <v>249200</v>
      </c>
      <c r="BI217" s="327">
        <f t="shared" si="35"/>
        <v>0</v>
      </c>
    </row>
    <row r="218" spans="1:61" ht="18">
      <c r="A218" s="367">
        <f t="shared" si="29"/>
        <v>201</v>
      </c>
      <c r="B218" s="368"/>
      <c r="C218" s="368"/>
      <c r="D218" s="379" t="s">
        <v>80</v>
      </c>
      <c r="E218" s="66" t="s">
        <v>187</v>
      </c>
      <c r="F218" s="375"/>
      <c r="G218" s="50">
        <f t="shared" si="34"/>
        <v>249.20000000000005</v>
      </c>
      <c r="H218" s="375">
        <f>'BVC  MS'!H217+'BVC DSP'!H218</f>
        <v>58.300000000000004</v>
      </c>
      <c r="I218" s="375">
        <f>'BVC  MS'!I217+'BVC DSP'!I218</f>
        <v>74.30000000000001</v>
      </c>
      <c r="J218" s="375">
        <f>'BVC  MS'!J217+'BVC DSP'!J218</f>
        <v>58.3</v>
      </c>
      <c r="K218" s="375">
        <f>'BVC  MS'!K217+'BVC DSP'!K218</f>
        <v>58.300000000000004</v>
      </c>
      <c r="L218" s="21">
        <v>150.85</v>
      </c>
      <c r="M218" s="21">
        <f t="shared" si="33"/>
        <v>98.35000000000005</v>
      </c>
      <c r="N218" s="228">
        <v>170.53</v>
      </c>
      <c r="O218" s="205">
        <f aca="true" t="shared" si="36" ref="O218:O254">G218-N218</f>
        <v>78.67000000000004</v>
      </c>
      <c r="P218" s="165"/>
      <c r="Q218" s="165"/>
      <c r="R218" s="165"/>
      <c r="BC218" s="326"/>
      <c r="BD218" s="326"/>
      <c r="BE218" s="326" t="s">
        <v>84</v>
      </c>
      <c r="BF218" s="326" t="s">
        <v>188</v>
      </c>
      <c r="BG218" s="327">
        <v>3241640</v>
      </c>
      <c r="BH218" s="327">
        <v>3241640</v>
      </c>
      <c r="BI218" s="327">
        <f t="shared" si="35"/>
        <v>0</v>
      </c>
    </row>
    <row r="219" spans="1:61" ht="18">
      <c r="A219" s="367">
        <f t="shared" si="29"/>
        <v>202</v>
      </c>
      <c r="B219" s="368"/>
      <c r="C219" s="368"/>
      <c r="D219" s="379" t="s">
        <v>84</v>
      </c>
      <c r="E219" s="66" t="s">
        <v>188</v>
      </c>
      <c r="F219" s="375"/>
      <c r="G219" s="50">
        <f t="shared" si="34"/>
        <v>4551.639999999999</v>
      </c>
      <c r="H219" s="375">
        <f>'BVC  MS'!H218+'BVC DSP'!H219</f>
        <v>832.88</v>
      </c>
      <c r="I219" s="375">
        <f>'BVC  MS'!I218+'BVC DSP'!I219</f>
        <v>739.88</v>
      </c>
      <c r="J219" s="375">
        <f>'BVC  MS'!J218+'BVC DSP'!J219</f>
        <v>832.88</v>
      </c>
      <c r="K219" s="375">
        <f>'BVC  MS'!K218+'BVC DSP'!K219</f>
        <v>2146</v>
      </c>
      <c r="L219" s="21">
        <v>4129.67</v>
      </c>
      <c r="M219" s="21">
        <f t="shared" si="33"/>
        <v>421.96999999999935</v>
      </c>
      <c r="N219" s="228">
        <v>4549.67</v>
      </c>
      <c r="O219" s="205">
        <f t="shared" si="36"/>
        <v>1.9699999999993452</v>
      </c>
      <c r="P219" s="165"/>
      <c r="Q219" s="165"/>
      <c r="R219" s="165"/>
      <c r="BC219" s="326"/>
      <c r="BD219" s="326"/>
      <c r="BE219" s="326" t="s">
        <v>108</v>
      </c>
      <c r="BF219" s="326" t="s">
        <v>189</v>
      </c>
      <c r="BG219" s="327">
        <v>1460340</v>
      </c>
      <c r="BH219" s="327">
        <v>1460340</v>
      </c>
      <c r="BI219" s="327">
        <f t="shared" si="35"/>
        <v>0</v>
      </c>
    </row>
    <row r="220" spans="1:61" ht="18">
      <c r="A220" s="367">
        <f t="shared" si="29"/>
        <v>203</v>
      </c>
      <c r="B220" s="368"/>
      <c r="C220" s="368"/>
      <c r="D220" s="379" t="s">
        <v>108</v>
      </c>
      <c r="E220" s="66" t="s">
        <v>189</v>
      </c>
      <c r="F220" s="375"/>
      <c r="G220" s="50">
        <f t="shared" si="34"/>
        <v>1660.3400000000001</v>
      </c>
      <c r="H220" s="375">
        <f>'BVC  MS'!H219+'BVC DSP'!H220</f>
        <v>428.12</v>
      </c>
      <c r="I220" s="375">
        <f>'BVC  MS'!I219+'BVC DSP'!I220</f>
        <v>303.12</v>
      </c>
      <c r="J220" s="375">
        <f>'BVC  MS'!J219+'BVC DSP'!J220</f>
        <v>428.12</v>
      </c>
      <c r="K220" s="375">
        <f>'BVC  MS'!K219+'BVC DSP'!K220</f>
        <v>500.98</v>
      </c>
      <c r="L220" s="21">
        <v>1636.02</v>
      </c>
      <c r="M220" s="21">
        <f t="shared" si="33"/>
        <v>24.320000000000164</v>
      </c>
      <c r="N220" s="228">
        <v>1575.94</v>
      </c>
      <c r="O220" s="205">
        <f t="shared" si="36"/>
        <v>84.40000000000009</v>
      </c>
      <c r="P220" s="165"/>
      <c r="Q220" s="165"/>
      <c r="R220" s="165"/>
      <c r="BC220" s="326"/>
      <c r="BD220" s="326"/>
      <c r="BE220" s="326" t="s">
        <v>41</v>
      </c>
      <c r="BF220" s="326" t="s">
        <v>190</v>
      </c>
      <c r="BG220" s="327">
        <v>100000</v>
      </c>
      <c r="BH220" s="327">
        <v>100000</v>
      </c>
      <c r="BI220" s="327">
        <f t="shared" si="35"/>
        <v>0</v>
      </c>
    </row>
    <row r="221" spans="1:61" ht="18">
      <c r="A221" s="367">
        <f t="shared" si="29"/>
        <v>204</v>
      </c>
      <c r="B221" s="368"/>
      <c r="C221" s="368"/>
      <c r="D221" s="379" t="s">
        <v>41</v>
      </c>
      <c r="E221" s="66" t="s">
        <v>190</v>
      </c>
      <c r="F221" s="375"/>
      <c r="G221" s="50">
        <f t="shared" si="34"/>
        <v>100</v>
      </c>
      <c r="H221" s="375">
        <f>'BVC  MS'!H220+'BVC DSP'!H221</f>
        <v>25</v>
      </c>
      <c r="I221" s="375">
        <f>'BVC  MS'!I220+'BVC DSP'!I221</f>
        <v>25</v>
      </c>
      <c r="J221" s="375">
        <f>'BVC  MS'!J220+'BVC DSP'!J221</f>
        <v>25</v>
      </c>
      <c r="K221" s="375">
        <f>'BVC  MS'!K220+'BVC DSP'!K221</f>
        <v>25</v>
      </c>
      <c r="L221" s="21">
        <v>93.75</v>
      </c>
      <c r="M221" s="21">
        <f t="shared" si="33"/>
        <v>6.25</v>
      </c>
      <c r="N221" s="228">
        <v>93.75</v>
      </c>
      <c r="O221" s="205">
        <f t="shared" si="36"/>
        <v>6.25</v>
      </c>
      <c r="P221" s="165"/>
      <c r="Q221" s="165"/>
      <c r="R221" s="165"/>
      <c r="BC221" s="326"/>
      <c r="BD221" s="326"/>
      <c r="BE221" s="326" t="s">
        <v>154</v>
      </c>
      <c r="BF221" s="326" t="s">
        <v>191</v>
      </c>
      <c r="BG221" s="327">
        <v>614200</v>
      </c>
      <c r="BH221" s="327">
        <v>673200</v>
      </c>
      <c r="BI221" s="327">
        <f t="shared" si="35"/>
        <v>59000</v>
      </c>
    </row>
    <row r="222" spans="1:61" ht="18">
      <c r="A222" s="367">
        <f t="shared" si="29"/>
        <v>205</v>
      </c>
      <c r="B222" s="368"/>
      <c r="C222" s="368"/>
      <c r="D222" s="379" t="s">
        <v>154</v>
      </c>
      <c r="E222" s="66" t="s">
        <v>191</v>
      </c>
      <c r="F222" s="375"/>
      <c r="G222" s="50">
        <f t="shared" si="34"/>
        <v>692.3400000000001</v>
      </c>
      <c r="H222" s="375">
        <f>'BVC  MS'!H221+'BVC DSP'!H222</f>
        <v>188.55</v>
      </c>
      <c r="I222" s="375">
        <f>'BVC  MS'!I221+'BVC DSP'!I222</f>
        <v>148.55</v>
      </c>
      <c r="J222" s="375">
        <f>'BVC  MS'!J221+'BVC DSP'!J222</f>
        <v>247.55</v>
      </c>
      <c r="K222" s="375">
        <f>'BVC  MS'!K221+'BVC DSP'!K222</f>
        <v>107.69</v>
      </c>
      <c r="L222" s="21">
        <v>674.57</v>
      </c>
      <c r="M222" s="21">
        <f t="shared" si="33"/>
        <v>17.770000000000095</v>
      </c>
      <c r="N222" s="228">
        <v>402.62</v>
      </c>
      <c r="O222" s="205">
        <f t="shared" si="36"/>
        <v>289.72000000000014</v>
      </c>
      <c r="P222" s="165"/>
      <c r="Q222" s="165"/>
      <c r="R222" s="165"/>
      <c r="BC222" s="326"/>
      <c r="BD222" s="326"/>
      <c r="BE222" s="326" t="s">
        <v>157</v>
      </c>
      <c r="BF222" s="326" t="s">
        <v>192</v>
      </c>
      <c r="BG222" s="327">
        <v>297240</v>
      </c>
      <c r="BH222" s="327">
        <v>297240</v>
      </c>
      <c r="BI222" s="327">
        <f t="shared" si="35"/>
        <v>0</v>
      </c>
    </row>
    <row r="223" spans="1:61" ht="18">
      <c r="A223" s="367">
        <f t="shared" si="29"/>
        <v>206</v>
      </c>
      <c r="B223" s="368"/>
      <c r="C223" s="368"/>
      <c r="D223" s="379" t="s">
        <v>157</v>
      </c>
      <c r="E223" s="66" t="s">
        <v>192</v>
      </c>
      <c r="F223" s="375"/>
      <c r="G223" s="50">
        <f t="shared" si="34"/>
        <v>295.71000000000004</v>
      </c>
      <c r="H223" s="375">
        <f>'BVC  MS'!H222+'BVC DSP'!H223</f>
        <v>79.31</v>
      </c>
      <c r="I223" s="375">
        <f>'BVC  MS'!I222+'BVC DSP'!I223</f>
        <v>59.31</v>
      </c>
      <c r="J223" s="375">
        <f>'BVC  MS'!J222+'BVC DSP'!J223</f>
        <v>79.31</v>
      </c>
      <c r="K223" s="375">
        <f>'BVC  MS'!K222+'BVC DSP'!K223</f>
        <v>77.78</v>
      </c>
      <c r="L223" s="21">
        <v>221.92</v>
      </c>
      <c r="M223" s="21">
        <f t="shared" si="33"/>
        <v>73.79000000000005</v>
      </c>
      <c r="N223" s="228">
        <v>289.22</v>
      </c>
      <c r="O223" s="205">
        <f t="shared" si="36"/>
        <v>6.490000000000009</v>
      </c>
      <c r="P223" s="165"/>
      <c r="Q223" s="165"/>
      <c r="R223" s="165"/>
      <c r="BC223" s="326"/>
      <c r="BD223" s="326"/>
      <c r="BE223" s="326" t="s">
        <v>65</v>
      </c>
      <c r="BF223" s="326" t="s">
        <v>193</v>
      </c>
      <c r="BG223" s="327">
        <v>442040</v>
      </c>
      <c r="BH223" s="327">
        <v>442040</v>
      </c>
      <c r="BI223" s="327">
        <f t="shared" si="35"/>
        <v>0</v>
      </c>
    </row>
    <row r="224" spans="1:61" ht="18">
      <c r="A224" s="367">
        <f t="shared" si="29"/>
        <v>207</v>
      </c>
      <c r="B224" s="368"/>
      <c r="C224" s="368"/>
      <c r="D224" s="379" t="s">
        <v>65</v>
      </c>
      <c r="E224" s="66" t="s">
        <v>193</v>
      </c>
      <c r="F224" s="375"/>
      <c r="G224" s="50">
        <f t="shared" si="34"/>
        <v>272.03999999999996</v>
      </c>
      <c r="H224" s="375">
        <f>'BVC  MS'!H223+'BVC DSP'!H224</f>
        <v>138.01</v>
      </c>
      <c r="I224" s="375">
        <f>'BVC  MS'!I223+'BVC DSP'!I224</f>
        <v>28.00999999999999</v>
      </c>
      <c r="J224" s="375">
        <f>'BVC  MS'!J223+'BVC DSP'!J224</f>
        <v>138.01</v>
      </c>
      <c r="K224" s="375">
        <f>'BVC  MS'!K223+'BVC DSP'!K224</f>
        <v>-31.99000000000001</v>
      </c>
      <c r="L224" s="21">
        <v>270.59</v>
      </c>
      <c r="M224" s="21">
        <f t="shared" si="33"/>
        <v>1.4499999999999886</v>
      </c>
      <c r="N224" s="228">
        <v>178.4</v>
      </c>
      <c r="O224" s="205">
        <f t="shared" si="36"/>
        <v>93.63999999999996</v>
      </c>
      <c r="P224" s="165"/>
      <c r="Q224" s="165"/>
      <c r="R224" s="165"/>
      <c r="BC224" s="326"/>
      <c r="BD224" s="326"/>
      <c r="BE224" s="326" t="s">
        <v>160</v>
      </c>
      <c r="BF224" s="326" t="s">
        <v>194</v>
      </c>
      <c r="BG224" s="327">
        <v>173120</v>
      </c>
      <c r="BH224" s="327">
        <v>173120</v>
      </c>
      <c r="BI224" s="327">
        <f t="shared" si="35"/>
        <v>0</v>
      </c>
    </row>
    <row r="225" spans="1:61" ht="18">
      <c r="A225" s="367">
        <f t="shared" si="29"/>
        <v>208</v>
      </c>
      <c r="B225" s="368"/>
      <c r="C225" s="368"/>
      <c r="D225" s="379" t="s">
        <v>160</v>
      </c>
      <c r="E225" s="66" t="s">
        <v>194</v>
      </c>
      <c r="F225" s="375"/>
      <c r="G225" s="50">
        <f t="shared" si="34"/>
        <v>173.12</v>
      </c>
      <c r="H225" s="375">
        <f>'BVC  MS'!H224+'BVC DSP'!H225</f>
        <v>45.78</v>
      </c>
      <c r="I225" s="375">
        <f>'BVC  MS'!I224+'BVC DSP'!I225</f>
        <v>35.78</v>
      </c>
      <c r="J225" s="375">
        <f>'BVC  MS'!J224+'BVC DSP'!J225</f>
        <v>45.78</v>
      </c>
      <c r="K225" s="375">
        <f>'BVC  MS'!K224+'BVC DSP'!K225</f>
        <v>45.78</v>
      </c>
      <c r="L225" s="21">
        <v>161.12</v>
      </c>
      <c r="M225" s="21">
        <f t="shared" si="33"/>
        <v>12</v>
      </c>
      <c r="N225" s="228">
        <v>126.52</v>
      </c>
      <c r="O225" s="205">
        <f t="shared" si="36"/>
        <v>46.60000000000001</v>
      </c>
      <c r="P225" s="165"/>
      <c r="Q225" s="165"/>
      <c r="R225" s="165"/>
      <c r="BC225" s="326"/>
      <c r="BD225" s="326"/>
      <c r="BE225" s="328">
        <v>30</v>
      </c>
      <c r="BF225" s="326" t="s">
        <v>271</v>
      </c>
      <c r="BG225" s="327">
        <v>3403720</v>
      </c>
      <c r="BH225" s="327">
        <v>3403720</v>
      </c>
      <c r="BI225" s="327">
        <f t="shared" si="35"/>
        <v>0</v>
      </c>
    </row>
    <row r="226" spans="1:61" ht="18">
      <c r="A226" s="367">
        <f t="shared" si="29"/>
        <v>209</v>
      </c>
      <c r="B226" s="368"/>
      <c r="C226" s="368"/>
      <c r="D226" s="369">
        <v>30</v>
      </c>
      <c r="E226" s="66" t="s">
        <v>271</v>
      </c>
      <c r="F226" s="375"/>
      <c r="G226" s="50">
        <f t="shared" si="34"/>
        <v>6257.779999999999</v>
      </c>
      <c r="H226" s="375">
        <f>'BVC  MS'!H225+'BVC DSP'!H226</f>
        <v>855.1799999999998</v>
      </c>
      <c r="I226" s="375">
        <f>'BVC  MS'!I225+'BVC DSP'!I226</f>
        <v>1038.1799999999998</v>
      </c>
      <c r="J226" s="375">
        <f>'BVC  MS'!J225+'BVC DSP'!J226</f>
        <v>593.11</v>
      </c>
      <c r="K226" s="375">
        <f>'BVC  MS'!K225+'BVC DSP'!K226</f>
        <v>3771.3099999999995</v>
      </c>
      <c r="L226" s="21">
        <v>3762.89</v>
      </c>
      <c r="M226" s="21">
        <f t="shared" si="33"/>
        <v>2494.889999999999</v>
      </c>
      <c r="N226" s="228">
        <v>6205.74</v>
      </c>
      <c r="O226" s="205">
        <f t="shared" si="36"/>
        <v>52.039999999999054</v>
      </c>
      <c r="P226" s="165"/>
      <c r="Q226" s="165"/>
      <c r="R226" s="165"/>
      <c r="BC226" s="326"/>
      <c r="BD226" s="326" t="s">
        <v>80</v>
      </c>
      <c r="BE226" s="326"/>
      <c r="BF226" s="326" t="s">
        <v>196</v>
      </c>
      <c r="BG226" s="327">
        <v>314820</v>
      </c>
      <c r="BH226" s="327">
        <v>314820</v>
      </c>
      <c r="BI226" s="327">
        <f t="shared" si="35"/>
        <v>0</v>
      </c>
    </row>
    <row r="227" spans="1:61" ht="18">
      <c r="A227" s="367">
        <f t="shared" si="29"/>
        <v>210</v>
      </c>
      <c r="B227" s="368"/>
      <c r="C227" s="377" t="s">
        <v>80</v>
      </c>
      <c r="D227" s="86"/>
      <c r="E227" s="59" t="s">
        <v>196</v>
      </c>
      <c r="F227" s="375"/>
      <c r="G227" s="50">
        <f t="shared" si="34"/>
        <v>214.82</v>
      </c>
      <c r="H227" s="375">
        <f>'BVC  MS'!H226+'BVC DSP'!H227</f>
        <v>94.94</v>
      </c>
      <c r="I227" s="375">
        <f>'BVC  MS'!I226+'BVC DSP'!I227</f>
        <v>44.94</v>
      </c>
      <c r="J227" s="375">
        <f>'BVC  MS'!J226+'BVC DSP'!J227</f>
        <v>144.94</v>
      </c>
      <c r="K227" s="375">
        <f>'BVC  MS'!K226+'BVC DSP'!K227</f>
        <v>-70</v>
      </c>
      <c r="L227" s="21">
        <v>205.26</v>
      </c>
      <c r="M227" s="21">
        <f t="shared" si="33"/>
        <v>9.560000000000002</v>
      </c>
      <c r="N227" s="228">
        <v>107.22</v>
      </c>
      <c r="O227" s="205">
        <f t="shared" si="36"/>
        <v>107.6</v>
      </c>
      <c r="P227" s="165"/>
      <c r="Q227" s="165"/>
      <c r="R227" s="165"/>
      <c r="BC227" s="326"/>
      <c r="BD227" s="329" t="s">
        <v>84</v>
      </c>
      <c r="BE227" s="329"/>
      <c r="BF227" s="329" t="s">
        <v>197</v>
      </c>
      <c r="BG227" s="330">
        <v>2893350</v>
      </c>
      <c r="BH227" s="330">
        <v>3893350</v>
      </c>
      <c r="BI227" s="330">
        <f t="shared" si="35"/>
        <v>1000000</v>
      </c>
    </row>
    <row r="228" spans="1:61" ht="18">
      <c r="A228" s="367">
        <f t="shared" si="29"/>
        <v>211</v>
      </c>
      <c r="B228" s="368"/>
      <c r="C228" s="377" t="s">
        <v>84</v>
      </c>
      <c r="D228" s="86"/>
      <c r="E228" s="59" t="s">
        <v>197</v>
      </c>
      <c r="F228" s="49">
        <f>+F229+F230</f>
        <v>0</v>
      </c>
      <c r="G228" s="50">
        <f t="shared" si="34"/>
        <v>4293.35</v>
      </c>
      <c r="H228" s="124">
        <f>+H229+H230</f>
        <v>414.45000000000005</v>
      </c>
      <c r="I228" s="124">
        <f>+I229+I230</f>
        <v>614.45</v>
      </c>
      <c r="J228" s="124">
        <f>+J229+J230</f>
        <v>914.45</v>
      </c>
      <c r="K228" s="124">
        <f>+K229+K230</f>
        <v>2350</v>
      </c>
      <c r="L228" s="21"/>
      <c r="M228" s="171">
        <f>M229+M230</f>
        <v>1248.2300000000005</v>
      </c>
      <c r="N228" s="228"/>
      <c r="O228" s="205">
        <f t="shared" si="36"/>
        <v>4293.35</v>
      </c>
      <c r="P228" s="165"/>
      <c r="Q228" s="165"/>
      <c r="R228" s="165"/>
      <c r="BC228" s="326"/>
      <c r="BD228" s="326"/>
      <c r="BE228" s="326" t="s">
        <v>47</v>
      </c>
      <c r="BF228" s="326" t="s">
        <v>198</v>
      </c>
      <c r="BG228" s="327">
        <v>2893350</v>
      </c>
      <c r="BH228" s="327">
        <v>3893350</v>
      </c>
      <c r="BI228" s="327">
        <f t="shared" si="35"/>
        <v>1000000</v>
      </c>
    </row>
    <row r="229" spans="1:61" ht="18">
      <c r="A229" s="367">
        <f t="shared" si="29"/>
        <v>212</v>
      </c>
      <c r="B229" s="368"/>
      <c r="C229" s="368"/>
      <c r="D229" s="379" t="s">
        <v>47</v>
      </c>
      <c r="E229" s="66" t="s">
        <v>198</v>
      </c>
      <c r="F229" s="375"/>
      <c r="G229" s="50">
        <f t="shared" si="34"/>
        <v>4293.35</v>
      </c>
      <c r="H229" s="375">
        <f>'BVC  MS'!H228+'BVC DSP'!H229</f>
        <v>414.45000000000005</v>
      </c>
      <c r="I229" s="375">
        <f>'BVC  MS'!I228+'BVC DSP'!I229</f>
        <v>614.45</v>
      </c>
      <c r="J229" s="375">
        <f>'BVC  MS'!J228+'BVC DSP'!J229</f>
        <v>914.45</v>
      </c>
      <c r="K229" s="375">
        <f>'BVC  MS'!K228+'BVC DSP'!K229</f>
        <v>2350</v>
      </c>
      <c r="L229" s="21">
        <v>3045.12</v>
      </c>
      <c r="M229" s="21">
        <f t="shared" si="33"/>
        <v>1248.2300000000005</v>
      </c>
      <c r="N229" s="228">
        <v>4286</v>
      </c>
      <c r="O229" s="205">
        <f t="shared" si="36"/>
        <v>7.350000000000364</v>
      </c>
      <c r="P229" s="165"/>
      <c r="Q229" s="165"/>
      <c r="R229" s="165"/>
      <c r="BC229" s="326"/>
      <c r="BD229" s="326"/>
      <c r="BE229" s="326" t="s">
        <v>80</v>
      </c>
      <c r="BF229" s="326" t="s">
        <v>199</v>
      </c>
      <c r="BG229" s="327">
        <v>0</v>
      </c>
      <c r="BH229" s="327">
        <v>0</v>
      </c>
      <c r="BI229" s="327">
        <f t="shared" si="35"/>
        <v>0</v>
      </c>
    </row>
    <row r="230" spans="1:61" ht="18">
      <c r="A230" s="367">
        <f t="shared" si="29"/>
        <v>213</v>
      </c>
      <c r="B230" s="368"/>
      <c r="C230" s="368"/>
      <c r="D230" s="379" t="s">
        <v>80</v>
      </c>
      <c r="E230" s="66" t="s">
        <v>199</v>
      </c>
      <c r="F230" s="375"/>
      <c r="G230" s="50">
        <f t="shared" si="34"/>
        <v>0</v>
      </c>
      <c r="H230" s="375">
        <f>'BVC  MS'!H229+'BVC DSP'!H230</f>
        <v>0</v>
      </c>
      <c r="I230" s="375">
        <f>'BVC  MS'!I229+'BVC DSP'!I230</f>
        <v>0</v>
      </c>
      <c r="J230" s="375">
        <f>'BVC  MS'!J229+'BVC DSP'!J230</f>
        <v>0</v>
      </c>
      <c r="K230" s="375">
        <f>'BVC  MS'!K229+'BVC DSP'!K230</f>
        <v>0</v>
      </c>
      <c r="L230" s="21"/>
      <c r="M230" s="21">
        <f t="shared" si="33"/>
        <v>0</v>
      </c>
      <c r="N230" s="228"/>
      <c r="O230" s="205">
        <f t="shared" si="36"/>
        <v>0</v>
      </c>
      <c r="P230" s="165"/>
      <c r="Q230" s="165"/>
      <c r="R230" s="165"/>
      <c r="BC230" s="326"/>
      <c r="BD230" s="329" t="s">
        <v>108</v>
      </c>
      <c r="BE230" s="329"/>
      <c r="BF230" s="329" t="s">
        <v>200</v>
      </c>
      <c r="BG230" s="330">
        <v>19195080</v>
      </c>
      <c r="BH230" s="330">
        <v>19106660</v>
      </c>
      <c r="BI230" s="330">
        <f t="shared" si="35"/>
        <v>-88420</v>
      </c>
    </row>
    <row r="231" spans="1:61" ht="18">
      <c r="A231" s="367">
        <f aca="true" t="shared" si="37" ref="A231:A294">A230+1</f>
        <v>214</v>
      </c>
      <c r="B231" s="368"/>
      <c r="C231" s="377" t="s">
        <v>108</v>
      </c>
      <c r="D231" s="369"/>
      <c r="E231" s="59" t="s">
        <v>200</v>
      </c>
      <c r="F231" s="49">
        <f>+F232+F233+F234+F235</f>
        <v>0</v>
      </c>
      <c r="G231" s="50">
        <f t="shared" si="34"/>
        <v>29686.730000000003</v>
      </c>
      <c r="H231" s="124">
        <f>+H232+H233+H234+H235</f>
        <v>5823.510000000001</v>
      </c>
      <c r="I231" s="124">
        <f>+I232+I233+I234+I235</f>
        <v>4469.71</v>
      </c>
      <c r="J231" s="124">
        <f>+J232+J233+J234+J235</f>
        <v>11366.98</v>
      </c>
      <c r="K231" s="124">
        <f>+K232+K233+K234+K235</f>
        <v>8026.530000000001</v>
      </c>
      <c r="L231" s="21"/>
      <c r="M231" s="171">
        <f>M232+M233+M234+M235</f>
        <v>3805.5799999999986</v>
      </c>
      <c r="N231" s="228"/>
      <c r="O231" s="205">
        <f t="shared" si="36"/>
        <v>29686.730000000003</v>
      </c>
      <c r="P231" s="165"/>
      <c r="Q231" s="165"/>
      <c r="R231" s="165"/>
      <c r="BC231" s="326"/>
      <c r="BD231" s="326"/>
      <c r="BE231" s="326" t="s">
        <v>47</v>
      </c>
      <c r="BF231" s="326" t="s">
        <v>201</v>
      </c>
      <c r="BG231" s="327">
        <v>11216950</v>
      </c>
      <c r="BH231" s="327">
        <v>10923530</v>
      </c>
      <c r="BI231" s="327">
        <f t="shared" si="35"/>
        <v>-293420</v>
      </c>
    </row>
    <row r="232" spans="1:61" ht="18">
      <c r="A232" s="367">
        <f t="shared" si="37"/>
        <v>215</v>
      </c>
      <c r="B232" s="368"/>
      <c r="C232" s="368"/>
      <c r="D232" s="379" t="s">
        <v>47</v>
      </c>
      <c r="E232" s="66" t="s">
        <v>201</v>
      </c>
      <c r="F232" s="375"/>
      <c r="G232" s="50">
        <f t="shared" si="34"/>
        <v>18004.6</v>
      </c>
      <c r="H232" s="375">
        <f>'BVC  MS'!H231+'BVC DSP'!H232</f>
        <v>2451.7</v>
      </c>
      <c r="I232" s="375">
        <f>'BVC  MS'!I231+'BVC DSP'!I232</f>
        <v>3106.09</v>
      </c>
      <c r="J232" s="375">
        <f>'BVC  MS'!J231+'BVC DSP'!J232</f>
        <v>8538.19</v>
      </c>
      <c r="K232" s="375">
        <f>'BVC  MS'!K231+'BVC DSP'!K232</f>
        <v>3908.620000000001</v>
      </c>
      <c r="L232" s="21">
        <v>15534.91</v>
      </c>
      <c r="M232" s="21">
        <f t="shared" si="33"/>
        <v>2469.6899999999987</v>
      </c>
      <c r="N232" s="228">
        <v>16226.07</v>
      </c>
      <c r="O232" s="205">
        <f t="shared" si="36"/>
        <v>1778.5299999999988</v>
      </c>
      <c r="P232" s="165"/>
      <c r="Q232" s="165"/>
      <c r="R232" s="165"/>
      <c r="BC232" s="326"/>
      <c r="BD232" s="326"/>
      <c r="BE232" s="326" t="s">
        <v>80</v>
      </c>
      <c r="BF232" s="326" t="s">
        <v>202</v>
      </c>
      <c r="BG232" s="327">
        <v>4870400</v>
      </c>
      <c r="BH232" s="327">
        <v>5072400</v>
      </c>
      <c r="BI232" s="327">
        <f t="shared" si="35"/>
        <v>202000</v>
      </c>
    </row>
    <row r="233" spans="1:61" ht="18">
      <c r="A233" s="367">
        <f t="shared" si="37"/>
        <v>216</v>
      </c>
      <c r="B233" s="368"/>
      <c r="C233" s="368"/>
      <c r="D233" s="379" t="s">
        <v>80</v>
      </c>
      <c r="E233" s="66" t="s">
        <v>202</v>
      </c>
      <c r="F233" s="375"/>
      <c r="G233" s="50">
        <f t="shared" si="34"/>
        <v>7331.4</v>
      </c>
      <c r="H233" s="375">
        <f>'BVC  MS'!H232+'BVC DSP'!H233</f>
        <v>2485.9</v>
      </c>
      <c r="I233" s="375">
        <f>'BVC  MS'!I232+'BVC DSP'!I233</f>
        <v>857.71</v>
      </c>
      <c r="J233" s="375">
        <f>'BVC  MS'!J232+'BVC DSP'!J233</f>
        <v>1659.88</v>
      </c>
      <c r="K233" s="375">
        <f>'BVC  MS'!K232+'BVC DSP'!K233</f>
        <v>2327.91</v>
      </c>
      <c r="L233" s="21">
        <v>7243.98</v>
      </c>
      <c r="M233" s="21">
        <f t="shared" si="33"/>
        <v>87.42000000000007</v>
      </c>
      <c r="N233" s="228">
        <v>5835.59</v>
      </c>
      <c r="O233" s="205">
        <f t="shared" si="36"/>
        <v>1495.8099999999995</v>
      </c>
      <c r="P233" s="165"/>
      <c r="Q233" s="165"/>
      <c r="R233" s="165"/>
      <c r="BC233" s="326"/>
      <c r="BD233" s="326"/>
      <c r="BE233" s="326" t="s">
        <v>84</v>
      </c>
      <c r="BF233" s="326" t="s">
        <v>203</v>
      </c>
      <c r="BG233" s="327">
        <v>2457810</v>
      </c>
      <c r="BH233" s="327">
        <v>2457810</v>
      </c>
      <c r="BI233" s="327">
        <f t="shared" si="35"/>
        <v>0</v>
      </c>
    </row>
    <row r="234" spans="1:61" ht="18">
      <c r="A234" s="367">
        <f t="shared" si="37"/>
        <v>217</v>
      </c>
      <c r="B234" s="368"/>
      <c r="C234" s="368"/>
      <c r="D234" s="379" t="s">
        <v>84</v>
      </c>
      <c r="E234" s="66" t="s">
        <v>203</v>
      </c>
      <c r="F234" s="375"/>
      <c r="G234" s="50">
        <f t="shared" si="34"/>
        <v>3657.81</v>
      </c>
      <c r="H234" s="375">
        <f>'BVC  MS'!H233+'BVC DSP'!H234</f>
        <v>719.27</v>
      </c>
      <c r="I234" s="375">
        <f>'BVC  MS'!I233+'BVC DSP'!I234</f>
        <v>339.27</v>
      </c>
      <c r="J234" s="375">
        <f>'BVC  MS'!J233+'BVC DSP'!J234</f>
        <v>999.27</v>
      </c>
      <c r="K234" s="375">
        <f>'BVC  MS'!K233+'BVC DSP'!K234</f>
        <v>1600</v>
      </c>
      <c r="L234" s="21">
        <v>2412.71</v>
      </c>
      <c r="M234" s="21">
        <f t="shared" si="33"/>
        <v>1245.1</v>
      </c>
      <c r="N234" s="228">
        <v>3575.1</v>
      </c>
      <c r="O234" s="205">
        <f t="shared" si="36"/>
        <v>82.71000000000004</v>
      </c>
      <c r="P234" s="165"/>
      <c r="Q234" s="165"/>
      <c r="R234" s="165"/>
      <c r="BC234" s="326"/>
      <c r="BD234" s="326"/>
      <c r="BE234" s="326" t="s">
        <v>108</v>
      </c>
      <c r="BF234" s="326" t="s">
        <v>204</v>
      </c>
      <c r="BG234" s="327">
        <v>649920</v>
      </c>
      <c r="BH234" s="327">
        <v>652920</v>
      </c>
      <c r="BI234" s="327">
        <f t="shared" si="35"/>
        <v>3000</v>
      </c>
    </row>
    <row r="235" spans="1:61" ht="18">
      <c r="A235" s="367">
        <f t="shared" si="37"/>
        <v>218</v>
      </c>
      <c r="B235" s="368"/>
      <c r="C235" s="368"/>
      <c r="D235" s="379" t="s">
        <v>108</v>
      </c>
      <c r="E235" s="66" t="s">
        <v>204</v>
      </c>
      <c r="F235" s="375"/>
      <c r="G235" s="50">
        <f t="shared" si="34"/>
        <v>692.92</v>
      </c>
      <c r="H235" s="375">
        <f>'BVC  MS'!H234+'BVC DSP'!H235</f>
        <v>166.64</v>
      </c>
      <c r="I235" s="375">
        <f>'BVC  MS'!I234+'BVC DSP'!I235</f>
        <v>166.64</v>
      </c>
      <c r="J235" s="375">
        <f>'BVC  MS'!J234+'BVC DSP'!J235</f>
        <v>169.64</v>
      </c>
      <c r="K235" s="375">
        <f>'BVC  MS'!K234+'BVC DSP'!K235</f>
        <v>190</v>
      </c>
      <c r="L235" s="21">
        <v>689.55</v>
      </c>
      <c r="M235" s="21">
        <f t="shared" si="33"/>
        <v>3.3700000000000045</v>
      </c>
      <c r="N235" s="228">
        <v>337.28</v>
      </c>
      <c r="O235" s="205">
        <f t="shared" si="36"/>
        <v>355.64</v>
      </c>
      <c r="P235" s="165"/>
      <c r="Q235" s="165"/>
      <c r="R235" s="165"/>
      <c r="BC235" s="326"/>
      <c r="BD235" s="329" t="s">
        <v>41</v>
      </c>
      <c r="BE235" s="329"/>
      <c r="BF235" s="329" t="s">
        <v>205</v>
      </c>
      <c r="BG235" s="330">
        <v>991280</v>
      </c>
      <c r="BH235" s="330">
        <v>1720490</v>
      </c>
      <c r="BI235" s="330">
        <f t="shared" si="35"/>
        <v>729210</v>
      </c>
    </row>
    <row r="236" spans="1:61" ht="18">
      <c r="A236" s="367">
        <f t="shared" si="37"/>
        <v>219</v>
      </c>
      <c r="B236" s="368"/>
      <c r="C236" s="377" t="s">
        <v>41</v>
      </c>
      <c r="D236" s="369"/>
      <c r="E236" s="85" t="s">
        <v>205</v>
      </c>
      <c r="F236" s="49">
        <f>+F237+F238+F239</f>
        <v>0</v>
      </c>
      <c r="G236" s="50">
        <f t="shared" si="34"/>
        <v>832.49</v>
      </c>
      <c r="H236" s="124">
        <f>+H237+H238+H239</f>
        <v>338.79</v>
      </c>
      <c r="I236" s="124">
        <f>+I237+I238+I239</f>
        <v>14.91</v>
      </c>
      <c r="J236" s="124">
        <f>+J237+J238+J239</f>
        <v>671.79</v>
      </c>
      <c r="K236" s="124">
        <f>+K237+K238+K239</f>
        <v>-193</v>
      </c>
      <c r="L236" s="21"/>
      <c r="M236" s="171">
        <f>M237+M238+M239</f>
        <v>62.72999999999999</v>
      </c>
      <c r="N236" s="228"/>
      <c r="O236" s="205">
        <f t="shared" si="36"/>
        <v>832.49</v>
      </c>
      <c r="P236" s="165"/>
      <c r="Q236" s="165"/>
      <c r="R236" s="165"/>
      <c r="BC236" s="326"/>
      <c r="BD236" s="326"/>
      <c r="BE236" s="326" t="s">
        <v>47</v>
      </c>
      <c r="BF236" s="326" t="s">
        <v>206</v>
      </c>
      <c r="BG236" s="327">
        <v>13280</v>
      </c>
      <c r="BH236" s="327">
        <v>77710</v>
      </c>
      <c r="BI236" s="327">
        <f t="shared" si="35"/>
        <v>64430</v>
      </c>
    </row>
    <row r="237" spans="1:61" ht="18">
      <c r="A237" s="367">
        <f t="shared" si="37"/>
        <v>220</v>
      </c>
      <c r="B237" s="368"/>
      <c r="C237" s="368"/>
      <c r="D237" s="379" t="s">
        <v>47</v>
      </c>
      <c r="E237" s="66" t="s">
        <v>206</v>
      </c>
      <c r="F237" s="375"/>
      <c r="G237" s="50">
        <f t="shared" si="34"/>
        <v>77.71000000000001</v>
      </c>
      <c r="H237" s="375">
        <f>'BVC  MS'!H236+'BVC DSP'!H237</f>
        <v>1.57</v>
      </c>
      <c r="I237" s="375">
        <f>'BVC  MS'!I236+'BVC DSP'!I237</f>
        <v>8.57</v>
      </c>
      <c r="J237" s="375">
        <f>'BVC  MS'!J236+'BVC DSP'!J237</f>
        <v>32.57</v>
      </c>
      <c r="K237" s="375">
        <f>'BVC  MS'!K236+'BVC DSP'!K237</f>
        <v>35</v>
      </c>
      <c r="L237" s="21">
        <v>66.87</v>
      </c>
      <c r="M237" s="21">
        <f t="shared" si="33"/>
        <v>10.840000000000003</v>
      </c>
      <c r="N237" s="228"/>
      <c r="O237" s="205">
        <f t="shared" si="36"/>
        <v>77.71000000000001</v>
      </c>
      <c r="P237" s="165"/>
      <c r="Q237" s="165"/>
      <c r="R237" s="165"/>
      <c r="BC237" s="326"/>
      <c r="BD237" s="326"/>
      <c r="BE237" s="326" t="s">
        <v>84</v>
      </c>
      <c r="BF237" s="326" t="s">
        <v>207</v>
      </c>
      <c r="BG237" s="327">
        <v>25360</v>
      </c>
      <c r="BH237" s="327">
        <v>71020</v>
      </c>
      <c r="BI237" s="327">
        <f t="shared" si="35"/>
        <v>45660</v>
      </c>
    </row>
    <row r="238" spans="1:61" ht="18">
      <c r="A238" s="367">
        <f t="shared" si="37"/>
        <v>221</v>
      </c>
      <c r="B238" s="368"/>
      <c r="C238" s="368"/>
      <c r="D238" s="379" t="s">
        <v>84</v>
      </c>
      <c r="E238" s="66" t="s">
        <v>207</v>
      </c>
      <c r="F238" s="375"/>
      <c r="G238" s="50">
        <f t="shared" si="34"/>
        <v>113.02</v>
      </c>
      <c r="H238" s="375">
        <f>'BVC  MS'!H237+'BVC DSP'!H238</f>
        <v>6.34</v>
      </c>
      <c r="I238" s="375">
        <f>'BVC  MS'!I237+'BVC DSP'!I238</f>
        <v>6.34</v>
      </c>
      <c r="J238" s="375">
        <f>'BVC  MS'!J237+'BVC DSP'!J238</f>
        <v>28.34</v>
      </c>
      <c r="K238" s="375">
        <f>'BVC  MS'!K237+'BVC DSP'!K238</f>
        <v>72</v>
      </c>
      <c r="L238" s="21">
        <v>78.51</v>
      </c>
      <c r="M238" s="21">
        <f t="shared" si="33"/>
        <v>34.50999999999999</v>
      </c>
      <c r="N238" s="228">
        <v>111.8</v>
      </c>
      <c r="O238" s="205">
        <f t="shared" si="36"/>
        <v>1.2199999999999989</v>
      </c>
      <c r="P238" s="165"/>
      <c r="Q238" s="165"/>
      <c r="R238" s="165"/>
      <c r="BC238" s="326"/>
      <c r="BD238" s="326"/>
      <c r="BE238" s="326">
        <v>30</v>
      </c>
      <c r="BF238" s="326" t="s">
        <v>208</v>
      </c>
      <c r="BG238" s="327">
        <v>952640</v>
      </c>
      <c r="BH238" s="327">
        <v>1571760</v>
      </c>
      <c r="BI238" s="327">
        <f t="shared" si="35"/>
        <v>619120</v>
      </c>
    </row>
    <row r="239" spans="1:61" ht="18">
      <c r="A239" s="367">
        <f t="shared" si="37"/>
        <v>222</v>
      </c>
      <c r="B239" s="368"/>
      <c r="C239" s="368"/>
      <c r="D239" s="369">
        <v>30</v>
      </c>
      <c r="E239" s="66" t="s">
        <v>208</v>
      </c>
      <c r="F239" s="375"/>
      <c r="G239" s="50">
        <f t="shared" si="34"/>
        <v>641.76</v>
      </c>
      <c r="H239" s="375">
        <f>'BVC  MS'!H238+'BVC DSP'!H239</f>
        <v>330.88</v>
      </c>
      <c r="I239" s="375">
        <f>'BVC  MS'!I238+'BVC DSP'!I239</f>
        <v>0</v>
      </c>
      <c r="J239" s="375">
        <f>'BVC  MS'!J238+'BVC DSP'!J239</f>
        <v>610.88</v>
      </c>
      <c r="K239" s="375">
        <f>'BVC  MS'!K238+'BVC DSP'!K239</f>
        <v>-300</v>
      </c>
      <c r="L239" s="21">
        <v>624.38</v>
      </c>
      <c r="M239" s="21">
        <f t="shared" si="33"/>
        <v>17.379999999999995</v>
      </c>
      <c r="N239" s="228">
        <v>566.72</v>
      </c>
      <c r="O239" s="205">
        <f t="shared" si="36"/>
        <v>75.03999999999996</v>
      </c>
      <c r="P239" s="165"/>
      <c r="Q239" s="165"/>
      <c r="R239" s="165"/>
      <c r="BC239" s="326"/>
      <c r="BD239" s="329" t="s">
        <v>154</v>
      </c>
      <c r="BE239" s="329"/>
      <c r="BF239" s="329" t="s">
        <v>209</v>
      </c>
      <c r="BG239" s="330">
        <v>37630</v>
      </c>
      <c r="BH239" s="330">
        <v>39630</v>
      </c>
      <c r="BI239" s="330">
        <f t="shared" si="35"/>
        <v>2000</v>
      </c>
    </row>
    <row r="240" spans="1:61" ht="18">
      <c r="A240" s="367">
        <f t="shared" si="37"/>
        <v>223</v>
      </c>
      <c r="B240" s="368"/>
      <c r="C240" s="377" t="s">
        <v>154</v>
      </c>
      <c r="D240" s="369"/>
      <c r="E240" s="59" t="s">
        <v>209</v>
      </c>
      <c r="F240" s="49">
        <f>+F241+F242</f>
        <v>0</v>
      </c>
      <c r="G240" s="50">
        <f t="shared" si="34"/>
        <v>39.63</v>
      </c>
      <c r="H240" s="124">
        <f>+H241+H242</f>
        <v>6</v>
      </c>
      <c r="I240" s="124">
        <f>+I241+I242</f>
        <v>5.21</v>
      </c>
      <c r="J240" s="124">
        <f>+J241+J242</f>
        <v>15.21</v>
      </c>
      <c r="K240" s="124">
        <f>+K241+K242</f>
        <v>13.21</v>
      </c>
      <c r="L240" s="21"/>
      <c r="M240" s="171">
        <f>M241+M242</f>
        <v>4.6899999999999995</v>
      </c>
      <c r="N240" s="228"/>
      <c r="O240" s="205">
        <f t="shared" si="36"/>
        <v>39.63</v>
      </c>
      <c r="P240" s="165"/>
      <c r="Q240" s="165"/>
      <c r="R240" s="165"/>
      <c r="BC240" s="326"/>
      <c r="BD240" s="326"/>
      <c r="BE240" s="326" t="s">
        <v>47</v>
      </c>
      <c r="BF240" s="326" t="s">
        <v>272</v>
      </c>
      <c r="BG240" s="327">
        <v>24790</v>
      </c>
      <c r="BH240" s="327">
        <v>26790</v>
      </c>
      <c r="BI240" s="327">
        <f t="shared" si="35"/>
        <v>2000</v>
      </c>
    </row>
    <row r="241" spans="1:61" ht="18">
      <c r="A241" s="367">
        <f t="shared" si="37"/>
        <v>224</v>
      </c>
      <c r="B241" s="368"/>
      <c r="C241" s="368"/>
      <c r="D241" s="379" t="s">
        <v>47</v>
      </c>
      <c r="E241" s="78" t="s">
        <v>272</v>
      </c>
      <c r="F241" s="375"/>
      <c r="G241" s="50">
        <f t="shared" si="34"/>
        <v>26.79</v>
      </c>
      <c r="H241" s="375">
        <f>'BVC  MS'!H240+'BVC DSP'!H241</f>
        <v>2.79</v>
      </c>
      <c r="I241" s="375">
        <f>'BVC  MS'!I240+'BVC DSP'!I241</f>
        <v>2</v>
      </c>
      <c r="J241" s="375">
        <f>'BVC  MS'!J240+'BVC DSP'!J241</f>
        <v>12</v>
      </c>
      <c r="K241" s="375">
        <f>'BVC  MS'!K240+'BVC DSP'!K241</f>
        <v>10</v>
      </c>
      <c r="L241" s="21">
        <v>25.2</v>
      </c>
      <c r="M241" s="21">
        <f t="shared" si="33"/>
        <v>1.5899999999999999</v>
      </c>
      <c r="N241" s="228"/>
      <c r="O241" s="205">
        <f t="shared" si="36"/>
        <v>26.79</v>
      </c>
      <c r="P241" s="165"/>
      <c r="Q241" s="165"/>
      <c r="R241" s="165"/>
      <c r="BC241" s="326"/>
      <c r="BD241" s="326"/>
      <c r="BE241" s="326" t="s">
        <v>80</v>
      </c>
      <c r="BF241" s="326" t="s">
        <v>211</v>
      </c>
      <c r="BG241" s="327">
        <v>12840</v>
      </c>
      <c r="BH241" s="327">
        <v>12840</v>
      </c>
      <c r="BI241" s="327">
        <f t="shared" si="35"/>
        <v>0</v>
      </c>
    </row>
    <row r="242" spans="1:61" ht="18">
      <c r="A242" s="367">
        <f t="shared" si="37"/>
        <v>225</v>
      </c>
      <c r="B242" s="368"/>
      <c r="C242" s="368"/>
      <c r="D242" s="379" t="s">
        <v>80</v>
      </c>
      <c r="E242" s="66" t="s">
        <v>211</v>
      </c>
      <c r="F242" s="375"/>
      <c r="G242" s="50">
        <f t="shared" si="34"/>
        <v>12.84</v>
      </c>
      <c r="H242" s="375">
        <f>'BVC  MS'!H241+'BVC DSP'!H242</f>
        <v>3.21</v>
      </c>
      <c r="I242" s="375">
        <f>'BVC  MS'!I241+'BVC DSP'!I242</f>
        <v>3.21</v>
      </c>
      <c r="J242" s="375">
        <f>'BVC  MS'!J241+'BVC DSP'!J242</f>
        <v>3.21</v>
      </c>
      <c r="K242" s="375">
        <f>'BVC  MS'!K241+'BVC DSP'!K242</f>
        <v>3.21</v>
      </c>
      <c r="L242" s="21">
        <v>9.74</v>
      </c>
      <c r="M242" s="21">
        <f t="shared" si="33"/>
        <v>3.0999999999999996</v>
      </c>
      <c r="N242" s="228"/>
      <c r="O242" s="205">
        <f t="shared" si="36"/>
        <v>12.84</v>
      </c>
      <c r="P242" s="165"/>
      <c r="Q242" s="165"/>
      <c r="R242" s="165"/>
      <c r="BC242" s="326"/>
      <c r="BD242" s="331" t="s">
        <v>160</v>
      </c>
      <c r="BE242" s="326"/>
      <c r="BF242" s="326" t="s">
        <v>212</v>
      </c>
      <c r="BG242" s="327">
        <v>286680</v>
      </c>
      <c r="BH242" s="327">
        <v>326680</v>
      </c>
      <c r="BI242" s="327">
        <f t="shared" si="35"/>
        <v>40000</v>
      </c>
    </row>
    <row r="243" spans="1:61" ht="18">
      <c r="A243" s="367">
        <f t="shared" si="37"/>
        <v>226</v>
      </c>
      <c r="B243" s="368"/>
      <c r="C243" s="377" t="s">
        <v>160</v>
      </c>
      <c r="D243" s="369"/>
      <c r="E243" s="85" t="s">
        <v>212</v>
      </c>
      <c r="F243" s="375"/>
      <c r="G243" s="50">
        <f t="shared" si="34"/>
        <v>376.68</v>
      </c>
      <c r="H243" s="375">
        <f>'BVC  MS'!H242+'BVC DSP'!H243</f>
        <v>71.67</v>
      </c>
      <c r="I243" s="375">
        <f>'BVC  MS'!I242+'BVC DSP'!I243</f>
        <v>71.67</v>
      </c>
      <c r="J243" s="375">
        <f>'BVC  MS'!J242+'BVC DSP'!J243</f>
        <v>111.67</v>
      </c>
      <c r="K243" s="375">
        <f>'BVC  MS'!K242+'BVC DSP'!K243</f>
        <v>121.67</v>
      </c>
      <c r="L243" s="21">
        <v>373.35</v>
      </c>
      <c r="M243" s="21">
        <f t="shared" si="33"/>
        <v>3.329999999999984</v>
      </c>
      <c r="N243" s="228">
        <v>355.17</v>
      </c>
      <c r="O243" s="205">
        <f t="shared" si="36"/>
        <v>21.50999999999999</v>
      </c>
      <c r="P243" s="165"/>
      <c r="Q243" s="165"/>
      <c r="R243" s="165"/>
      <c r="BC243" s="326"/>
      <c r="BD243" s="326">
        <v>10</v>
      </c>
      <c r="BE243" s="326"/>
      <c r="BF243" s="326" t="s">
        <v>213</v>
      </c>
      <c r="BG243" s="327">
        <v>0</v>
      </c>
      <c r="BH243" s="327">
        <v>0</v>
      </c>
      <c r="BI243" s="327">
        <f t="shared" si="35"/>
        <v>0</v>
      </c>
    </row>
    <row r="244" spans="1:61" ht="18">
      <c r="A244" s="367">
        <f t="shared" si="37"/>
        <v>227</v>
      </c>
      <c r="B244" s="368"/>
      <c r="C244" s="368">
        <v>10</v>
      </c>
      <c r="D244" s="369"/>
      <c r="E244" s="85" t="s">
        <v>213</v>
      </c>
      <c r="F244" s="375"/>
      <c r="G244" s="50">
        <f t="shared" si="34"/>
        <v>0</v>
      </c>
      <c r="H244" s="375">
        <f>'BVC  MS'!H243+'BVC DSP'!H244</f>
        <v>0</v>
      </c>
      <c r="I244" s="375">
        <f>'BVC  MS'!I243+'BVC DSP'!I244</f>
        <v>0</v>
      </c>
      <c r="J244" s="375">
        <f>'BVC  MS'!J243+'BVC DSP'!J244</f>
        <v>0</v>
      </c>
      <c r="K244" s="375">
        <f>'BVC  MS'!K243+'BVC DSP'!K244</f>
        <v>0</v>
      </c>
      <c r="L244" s="21"/>
      <c r="M244" s="21">
        <f t="shared" si="33"/>
        <v>0</v>
      </c>
      <c r="N244" s="228"/>
      <c r="O244" s="205">
        <f t="shared" si="36"/>
        <v>0</v>
      </c>
      <c r="P244" s="165"/>
      <c r="Q244" s="165"/>
      <c r="R244" s="165"/>
      <c r="BC244" s="326"/>
      <c r="BD244" s="326">
        <v>11</v>
      </c>
      <c r="BE244" s="326"/>
      <c r="BF244" s="326" t="s">
        <v>273</v>
      </c>
      <c r="BG244" s="327">
        <v>3330</v>
      </c>
      <c r="BH244" s="327">
        <v>3330</v>
      </c>
      <c r="BI244" s="327">
        <f t="shared" si="35"/>
        <v>0</v>
      </c>
    </row>
    <row r="245" spans="1:61" ht="18">
      <c r="A245" s="367">
        <f t="shared" si="37"/>
        <v>228</v>
      </c>
      <c r="B245" s="368"/>
      <c r="C245" s="368">
        <v>11</v>
      </c>
      <c r="D245" s="369"/>
      <c r="E245" s="85" t="s">
        <v>273</v>
      </c>
      <c r="F245" s="375"/>
      <c r="G245" s="50">
        <f t="shared" si="34"/>
        <v>3.33</v>
      </c>
      <c r="H245" s="375">
        <f>'BVC  MS'!H244+'BVC DSP'!H245</f>
        <v>1.11</v>
      </c>
      <c r="I245" s="375">
        <f>'BVC  MS'!I244+'BVC DSP'!I245</f>
        <v>1.11</v>
      </c>
      <c r="J245" s="375">
        <f>'BVC  MS'!J244+'BVC DSP'!J245</f>
        <v>1.11</v>
      </c>
      <c r="K245" s="375">
        <f>'BVC  MS'!K244+'BVC DSP'!K245</f>
        <v>0</v>
      </c>
      <c r="L245" s="21">
        <v>2.45</v>
      </c>
      <c r="M245" s="21">
        <f t="shared" si="33"/>
        <v>0.8799999999999999</v>
      </c>
      <c r="N245" s="228">
        <v>2.45</v>
      </c>
      <c r="O245" s="205">
        <f t="shared" si="36"/>
        <v>0.8799999999999999</v>
      </c>
      <c r="P245" s="165"/>
      <c r="Q245" s="165"/>
      <c r="R245" s="165"/>
      <c r="BC245" s="326"/>
      <c r="BD245" s="326">
        <v>12</v>
      </c>
      <c r="BE245" s="326"/>
      <c r="BF245" s="326" t="s">
        <v>274</v>
      </c>
      <c r="BG245" s="327">
        <v>0</v>
      </c>
      <c r="BH245" s="327">
        <v>0</v>
      </c>
      <c r="BI245" s="327">
        <f t="shared" si="35"/>
        <v>0</v>
      </c>
    </row>
    <row r="246" spans="1:61" ht="18">
      <c r="A246" s="367">
        <f t="shared" si="37"/>
        <v>229</v>
      </c>
      <c r="B246" s="368"/>
      <c r="C246" s="368">
        <v>12</v>
      </c>
      <c r="D246" s="369"/>
      <c r="E246" s="85" t="s">
        <v>274</v>
      </c>
      <c r="F246" s="375"/>
      <c r="G246" s="50">
        <f t="shared" si="34"/>
        <v>0</v>
      </c>
      <c r="H246" s="375">
        <f>'BVC  MS'!H245+'BVC DSP'!H246</f>
        <v>0</v>
      </c>
      <c r="I246" s="375">
        <f>'BVC  MS'!I245+'BVC DSP'!I246</f>
        <v>0</v>
      </c>
      <c r="J246" s="375">
        <f>'BVC  MS'!J245+'BVC DSP'!J246</f>
        <v>0</v>
      </c>
      <c r="K246" s="375">
        <f>'BVC  MS'!K245+'BVC DSP'!K246</f>
        <v>0</v>
      </c>
      <c r="L246" s="21"/>
      <c r="M246" s="21">
        <f t="shared" si="33"/>
        <v>0</v>
      </c>
      <c r="N246" s="228"/>
      <c r="O246" s="205">
        <f t="shared" si="36"/>
        <v>0</v>
      </c>
      <c r="P246" s="165"/>
      <c r="Q246" s="165"/>
      <c r="R246" s="165"/>
      <c r="BC246" s="326"/>
      <c r="BD246" s="326">
        <v>13</v>
      </c>
      <c r="BE246" s="326"/>
      <c r="BF246" s="326" t="s">
        <v>216</v>
      </c>
      <c r="BG246" s="327">
        <v>24000</v>
      </c>
      <c r="BH246" s="327">
        <v>24000</v>
      </c>
      <c r="BI246" s="327">
        <f t="shared" si="35"/>
        <v>0</v>
      </c>
    </row>
    <row r="247" spans="1:61" ht="18">
      <c r="A247" s="367">
        <f t="shared" si="37"/>
        <v>230</v>
      </c>
      <c r="B247" s="368"/>
      <c r="C247" s="368">
        <v>13</v>
      </c>
      <c r="D247" s="369"/>
      <c r="E247" s="85" t="s">
        <v>216</v>
      </c>
      <c r="F247" s="375"/>
      <c r="G247" s="50">
        <f t="shared" si="34"/>
        <v>24</v>
      </c>
      <c r="H247" s="375">
        <f>'BVC  MS'!H246+'BVC DSP'!H247</f>
        <v>0</v>
      </c>
      <c r="I247" s="375">
        <f>'BVC  MS'!I246+'BVC DSP'!I247</f>
        <v>8</v>
      </c>
      <c r="J247" s="375">
        <f>'BVC  MS'!J246+'BVC DSP'!J247</f>
        <v>8</v>
      </c>
      <c r="K247" s="375">
        <f>'BVC  MS'!K246+'BVC DSP'!K247</f>
        <v>8</v>
      </c>
      <c r="L247" s="21">
        <v>9.39</v>
      </c>
      <c r="M247" s="21">
        <f t="shared" si="33"/>
        <v>14.61</v>
      </c>
      <c r="N247" s="228">
        <v>7.64</v>
      </c>
      <c r="O247" s="205">
        <f t="shared" si="36"/>
        <v>16.36</v>
      </c>
      <c r="P247" s="165"/>
      <c r="Q247" s="165"/>
      <c r="R247" s="165"/>
      <c r="BC247" s="326"/>
      <c r="BD247" s="326">
        <v>14</v>
      </c>
      <c r="BE247" s="326"/>
      <c r="BF247" s="326" t="s">
        <v>217</v>
      </c>
      <c r="BG247" s="327">
        <v>0</v>
      </c>
      <c r="BH247" s="327">
        <v>0</v>
      </c>
      <c r="BI247" s="327">
        <f t="shared" si="35"/>
        <v>0</v>
      </c>
    </row>
    <row r="248" spans="1:61" ht="18">
      <c r="A248" s="367">
        <f t="shared" si="37"/>
        <v>231</v>
      </c>
      <c r="B248" s="368"/>
      <c r="C248" s="368">
        <v>14</v>
      </c>
      <c r="D248" s="369"/>
      <c r="E248" s="85" t="s">
        <v>217</v>
      </c>
      <c r="F248" s="375"/>
      <c r="G248" s="50">
        <f t="shared" si="34"/>
        <v>0</v>
      </c>
      <c r="H248" s="375">
        <f>'BVC  MS'!H247+'BVC DSP'!H248</f>
        <v>0</v>
      </c>
      <c r="I248" s="375">
        <f>'BVC  MS'!I247+'BVC DSP'!I248</f>
        <v>0</v>
      </c>
      <c r="J248" s="375">
        <f>'BVC  MS'!J247+'BVC DSP'!J248</f>
        <v>0</v>
      </c>
      <c r="K248" s="375">
        <f>'BVC  MS'!K247+'BVC DSP'!K248</f>
        <v>0</v>
      </c>
      <c r="L248" s="21"/>
      <c r="M248" s="21">
        <f aca="true" t="shared" si="38" ref="M248:M256">G248-L248</f>
        <v>0</v>
      </c>
      <c r="N248" s="228"/>
      <c r="O248" s="205">
        <f t="shared" si="36"/>
        <v>0</v>
      </c>
      <c r="P248" s="165"/>
      <c r="Q248" s="165"/>
      <c r="R248" s="165"/>
      <c r="BC248" s="326"/>
      <c r="BD248" s="326">
        <v>25</v>
      </c>
      <c r="BE248" s="326"/>
      <c r="BF248" s="326" t="s">
        <v>218</v>
      </c>
      <c r="BG248" s="327">
        <v>0</v>
      </c>
      <c r="BH248" s="327">
        <v>0</v>
      </c>
      <c r="BI248" s="327">
        <f t="shared" si="35"/>
        <v>0</v>
      </c>
    </row>
    <row r="249" spans="1:61" ht="18">
      <c r="A249" s="367">
        <f t="shared" si="37"/>
        <v>232</v>
      </c>
      <c r="B249" s="368"/>
      <c r="C249" s="368">
        <v>25</v>
      </c>
      <c r="D249" s="369"/>
      <c r="E249" s="85" t="s">
        <v>218</v>
      </c>
      <c r="F249" s="375"/>
      <c r="G249" s="50">
        <f t="shared" si="34"/>
        <v>0</v>
      </c>
      <c r="H249" s="375">
        <f>'BVC  MS'!H248+'BVC DSP'!H249</f>
        <v>0</v>
      </c>
      <c r="I249" s="375">
        <f>'BVC  MS'!I248+'BVC DSP'!I249</f>
        <v>0</v>
      </c>
      <c r="J249" s="375">
        <f>'BVC  MS'!J248+'BVC DSP'!J249</f>
        <v>0</v>
      </c>
      <c r="K249" s="375">
        <f>'BVC  MS'!K248+'BVC DSP'!K249</f>
        <v>0</v>
      </c>
      <c r="L249" s="21"/>
      <c r="M249" s="21">
        <f t="shared" si="38"/>
        <v>0</v>
      </c>
      <c r="N249" s="228"/>
      <c r="O249" s="205">
        <f t="shared" si="36"/>
        <v>0</v>
      </c>
      <c r="P249" s="165"/>
      <c r="Q249" s="165"/>
      <c r="R249" s="165"/>
      <c r="BC249" s="326"/>
      <c r="BD249" s="326">
        <v>27</v>
      </c>
      <c r="BE249" s="326"/>
      <c r="BF249" s="326" t="s">
        <v>219</v>
      </c>
      <c r="BG249" s="327">
        <v>0</v>
      </c>
      <c r="BH249" s="327">
        <v>0</v>
      </c>
      <c r="BI249" s="327">
        <f t="shared" si="35"/>
        <v>0</v>
      </c>
    </row>
    <row r="250" spans="1:61" ht="18">
      <c r="A250" s="367">
        <f t="shared" si="37"/>
        <v>233</v>
      </c>
      <c r="B250" s="368"/>
      <c r="C250" s="368">
        <v>27</v>
      </c>
      <c r="D250" s="369"/>
      <c r="E250" s="85" t="s">
        <v>219</v>
      </c>
      <c r="F250" s="375"/>
      <c r="G250" s="50">
        <f t="shared" si="34"/>
        <v>0</v>
      </c>
      <c r="H250" s="375">
        <f>'BVC  MS'!H249+'BVC DSP'!H250</f>
        <v>0</v>
      </c>
      <c r="I250" s="375">
        <f>'BVC  MS'!I249+'BVC DSP'!I250</f>
        <v>0</v>
      </c>
      <c r="J250" s="375">
        <f>'BVC  MS'!J249+'BVC DSP'!J250</f>
        <v>0</v>
      </c>
      <c r="K250" s="375">
        <f>'BVC  MS'!K249+'BVC DSP'!K250</f>
        <v>0</v>
      </c>
      <c r="L250" s="21"/>
      <c r="M250" s="21">
        <f t="shared" si="38"/>
        <v>0</v>
      </c>
      <c r="N250" s="228"/>
      <c r="O250" s="205">
        <f t="shared" si="36"/>
        <v>0</v>
      </c>
      <c r="P250" s="165"/>
      <c r="Q250" s="165"/>
      <c r="R250" s="165"/>
      <c r="BC250" s="326"/>
      <c r="BD250" s="329">
        <v>30</v>
      </c>
      <c r="BE250" s="329"/>
      <c r="BF250" s="329" t="s">
        <v>120</v>
      </c>
      <c r="BG250" s="330">
        <v>110240</v>
      </c>
      <c r="BH250" s="330">
        <v>138240</v>
      </c>
      <c r="BI250" s="330">
        <f t="shared" si="35"/>
        <v>28000</v>
      </c>
    </row>
    <row r="251" spans="1:61" ht="18">
      <c r="A251" s="367">
        <f t="shared" si="37"/>
        <v>234</v>
      </c>
      <c r="B251" s="368"/>
      <c r="C251" s="368">
        <v>30</v>
      </c>
      <c r="D251" s="369"/>
      <c r="E251" s="85" t="s">
        <v>120</v>
      </c>
      <c r="F251" s="49">
        <f>+F252+F253+F254+F255+F256</f>
        <v>0</v>
      </c>
      <c r="G251" s="50">
        <f t="shared" si="34"/>
        <v>729.24</v>
      </c>
      <c r="H251" s="124">
        <f>+H252+H253+H254+H255+H256</f>
        <v>14.92</v>
      </c>
      <c r="I251" s="124">
        <f>+I252+I253+I254+I255+I256</f>
        <v>33.66</v>
      </c>
      <c r="J251" s="124">
        <f>+J252+J253+J254+J255+J256</f>
        <v>59.66</v>
      </c>
      <c r="K251" s="124">
        <f>+K252+K253+K254+K255+K256</f>
        <v>621</v>
      </c>
      <c r="L251" s="21"/>
      <c r="M251" s="171">
        <f>M252+M253+M254+M255+M256</f>
        <v>524.4499999999999</v>
      </c>
      <c r="N251" s="228"/>
      <c r="O251" s="205">
        <f t="shared" si="36"/>
        <v>729.24</v>
      </c>
      <c r="P251" s="165"/>
      <c r="Q251" s="165"/>
      <c r="R251" s="165"/>
      <c r="BC251" s="326"/>
      <c r="BD251" s="326"/>
      <c r="BE251" s="326" t="s">
        <v>47</v>
      </c>
      <c r="BF251" s="326" t="s">
        <v>220</v>
      </c>
      <c r="BG251" s="327">
        <v>0</v>
      </c>
      <c r="BH251" s="327">
        <v>0</v>
      </c>
      <c r="BI251" s="327">
        <f t="shared" si="35"/>
        <v>0</v>
      </c>
    </row>
    <row r="252" spans="1:61" ht="18">
      <c r="A252" s="367">
        <f t="shared" si="37"/>
        <v>235</v>
      </c>
      <c r="B252" s="368"/>
      <c r="C252" s="368"/>
      <c r="D252" s="379" t="s">
        <v>47</v>
      </c>
      <c r="E252" s="66" t="s">
        <v>220</v>
      </c>
      <c r="F252" s="375"/>
      <c r="G252" s="50">
        <f t="shared" si="34"/>
        <v>0</v>
      </c>
      <c r="H252" s="375">
        <f>'BVC  MS'!H251+'BVC DSP'!H252</f>
        <v>0</v>
      </c>
      <c r="I252" s="375">
        <f>'BVC  MS'!I251+'BVC DSP'!I252</f>
        <v>0</v>
      </c>
      <c r="J252" s="375">
        <f>'BVC  MS'!J251+'BVC DSP'!J252</f>
        <v>0</v>
      </c>
      <c r="K252" s="375">
        <f>'BVC  MS'!K251+'BVC DSP'!K252</f>
        <v>0</v>
      </c>
      <c r="L252" s="21"/>
      <c r="M252" s="21">
        <f t="shared" si="38"/>
        <v>0</v>
      </c>
      <c r="N252" s="228"/>
      <c r="O252" s="205">
        <f t="shared" si="36"/>
        <v>0</v>
      </c>
      <c r="P252" s="165"/>
      <c r="Q252" s="165"/>
      <c r="R252" s="165"/>
      <c r="BC252" s="326"/>
      <c r="BD252" s="326"/>
      <c r="BE252" s="326" t="s">
        <v>84</v>
      </c>
      <c r="BF252" s="326" t="s">
        <v>221</v>
      </c>
      <c r="BG252" s="327">
        <v>0</v>
      </c>
      <c r="BH252" s="327">
        <v>0</v>
      </c>
      <c r="BI252" s="327">
        <f t="shared" si="35"/>
        <v>0</v>
      </c>
    </row>
    <row r="253" spans="1:61" ht="18">
      <c r="A253" s="367">
        <f t="shared" si="37"/>
        <v>236</v>
      </c>
      <c r="B253" s="368"/>
      <c r="C253" s="368"/>
      <c r="D253" s="379" t="s">
        <v>84</v>
      </c>
      <c r="E253" s="66" t="s">
        <v>221</v>
      </c>
      <c r="F253" s="375"/>
      <c r="G253" s="50">
        <f t="shared" si="34"/>
        <v>0</v>
      </c>
      <c r="H253" s="375">
        <f>'BVC  MS'!H252+'BVC DSP'!H253</f>
        <v>0</v>
      </c>
      <c r="I253" s="375">
        <f>'BVC  MS'!I252+'BVC DSP'!I253</f>
        <v>0</v>
      </c>
      <c r="J253" s="375">
        <f>'BVC  MS'!J252+'BVC DSP'!J253</f>
        <v>0</v>
      </c>
      <c r="K253" s="375">
        <f>'BVC  MS'!K252+'BVC DSP'!K253</f>
        <v>0</v>
      </c>
      <c r="L253" s="21"/>
      <c r="M253" s="21">
        <f t="shared" si="38"/>
        <v>0</v>
      </c>
      <c r="N253" s="228"/>
      <c r="O253" s="205">
        <f t="shared" si="36"/>
        <v>0</v>
      </c>
      <c r="P253" s="165"/>
      <c r="Q253" s="165"/>
      <c r="R253" s="165"/>
      <c r="BC253" s="326"/>
      <c r="BD253" s="326"/>
      <c r="BE253" s="326" t="s">
        <v>108</v>
      </c>
      <c r="BF253" s="326" t="s">
        <v>222</v>
      </c>
      <c r="BG253" s="327">
        <v>105260</v>
      </c>
      <c r="BH253" s="327">
        <v>133260</v>
      </c>
      <c r="BI253" s="327">
        <f t="shared" si="35"/>
        <v>28000</v>
      </c>
    </row>
    <row r="254" spans="1:61" ht="18">
      <c r="A254" s="367">
        <f t="shared" si="37"/>
        <v>237</v>
      </c>
      <c r="B254" s="368"/>
      <c r="C254" s="368"/>
      <c r="D254" s="379" t="s">
        <v>108</v>
      </c>
      <c r="E254" s="66" t="s">
        <v>222</v>
      </c>
      <c r="F254" s="375"/>
      <c r="G254" s="50">
        <f t="shared" si="34"/>
        <v>723.26</v>
      </c>
      <c r="H254" s="375">
        <f>'BVC  MS'!H253+'BVC DSP'!H254</f>
        <v>13.26</v>
      </c>
      <c r="I254" s="375">
        <f>'BVC  MS'!I253+'BVC DSP'!I254</f>
        <v>32</v>
      </c>
      <c r="J254" s="375">
        <f>'BVC  MS'!J253+'BVC DSP'!J254</f>
        <v>58</v>
      </c>
      <c r="K254" s="375">
        <f>'BVC  MS'!K253+'BVC DSP'!K254</f>
        <v>620</v>
      </c>
      <c r="L254" s="21">
        <v>199.34</v>
      </c>
      <c r="M254" s="21">
        <f t="shared" si="38"/>
        <v>523.92</v>
      </c>
      <c r="N254" s="228">
        <v>716.99</v>
      </c>
      <c r="O254" s="205">
        <f t="shared" si="36"/>
        <v>6.269999999999982</v>
      </c>
      <c r="P254" s="165"/>
      <c r="Q254" s="165"/>
      <c r="R254" s="165"/>
      <c r="BC254" s="326"/>
      <c r="BD254" s="326"/>
      <c r="BE254" s="326" t="s">
        <v>160</v>
      </c>
      <c r="BF254" s="326" t="s">
        <v>223</v>
      </c>
      <c r="BG254" s="327">
        <v>0</v>
      </c>
      <c r="BH254" s="327">
        <v>0</v>
      </c>
      <c r="BI254" s="327">
        <f t="shared" si="35"/>
        <v>0</v>
      </c>
    </row>
    <row r="255" spans="1:61" ht="18">
      <c r="A255" s="367">
        <f t="shared" si="37"/>
        <v>238</v>
      </c>
      <c r="B255" s="368"/>
      <c r="C255" s="368"/>
      <c r="D255" s="379" t="s">
        <v>160</v>
      </c>
      <c r="E255" s="66" t="s">
        <v>223</v>
      </c>
      <c r="F255" s="375"/>
      <c r="G255" s="50">
        <f aca="true" t="shared" si="39" ref="G255:G276">H255+I255+J255+K255</f>
        <v>0</v>
      </c>
      <c r="H255" s="375">
        <f>'BVC  MS'!H254+'BVC DSP'!H255</f>
        <v>0</v>
      </c>
      <c r="I255" s="375">
        <f>'BVC  MS'!I254+'BVC DSP'!I255</f>
        <v>0</v>
      </c>
      <c r="J255" s="375">
        <f>'BVC  MS'!J254+'BVC DSP'!J255</f>
        <v>0</v>
      </c>
      <c r="K255" s="375">
        <f>'BVC  MS'!K254+'BVC DSP'!K255</f>
        <v>0</v>
      </c>
      <c r="L255" s="21"/>
      <c r="M255" s="21">
        <f t="shared" si="38"/>
        <v>0</v>
      </c>
      <c r="N255" s="228"/>
      <c r="O255" s="205"/>
      <c r="P255" s="165"/>
      <c r="Q255" s="165"/>
      <c r="R255" s="165"/>
      <c r="BC255" s="326"/>
      <c r="BD255" s="326"/>
      <c r="BE255" s="328">
        <v>30</v>
      </c>
      <c r="BF255" s="326" t="s">
        <v>224</v>
      </c>
      <c r="BG255" s="327">
        <v>4980</v>
      </c>
      <c r="BH255" s="327">
        <v>4980</v>
      </c>
      <c r="BI255" s="327">
        <f t="shared" si="35"/>
        <v>0</v>
      </c>
    </row>
    <row r="256" spans="1:61" ht="18">
      <c r="A256" s="367">
        <f t="shared" si="37"/>
        <v>239</v>
      </c>
      <c r="B256" s="368"/>
      <c r="C256" s="368"/>
      <c r="D256" s="369">
        <v>30</v>
      </c>
      <c r="E256" s="66" t="s">
        <v>224</v>
      </c>
      <c r="F256" s="375"/>
      <c r="G256" s="50">
        <f t="shared" si="39"/>
        <v>5.9799999999999995</v>
      </c>
      <c r="H256" s="375">
        <f>'BVC  MS'!H255+'BVC DSP'!H256</f>
        <v>1.66</v>
      </c>
      <c r="I256" s="375">
        <f>'BVC  MS'!I255+'BVC DSP'!I256</f>
        <v>1.66</v>
      </c>
      <c r="J256" s="375">
        <f>'BVC  MS'!J255+'BVC DSP'!J256</f>
        <v>1.66</v>
      </c>
      <c r="K256" s="375">
        <f>'BVC  MS'!K255+'BVC DSP'!K256</f>
        <v>1</v>
      </c>
      <c r="L256" s="21">
        <v>5.45</v>
      </c>
      <c r="M256" s="21">
        <f t="shared" si="38"/>
        <v>0.5299999999999994</v>
      </c>
      <c r="N256" s="228"/>
      <c r="O256" s="205"/>
      <c r="P256" s="165"/>
      <c r="Q256" s="165"/>
      <c r="R256" s="165"/>
      <c r="BC256" s="326">
        <v>30</v>
      </c>
      <c r="BD256" s="326"/>
      <c r="BE256" s="326"/>
      <c r="BF256" s="326" t="s">
        <v>225</v>
      </c>
      <c r="BG256" s="327">
        <v>0</v>
      </c>
      <c r="BH256" s="327">
        <v>0</v>
      </c>
      <c r="BI256" s="327">
        <f t="shared" si="35"/>
        <v>0</v>
      </c>
    </row>
    <row r="257" spans="1:61" ht="18">
      <c r="A257" s="367">
        <f t="shared" si="37"/>
        <v>240</v>
      </c>
      <c r="B257" s="390">
        <v>30</v>
      </c>
      <c r="C257" s="390"/>
      <c r="D257" s="408"/>
      <c r="E257" s="409" t="s">
        <v>225</v>
      </c>
      <c r="F257" s="49">
        <f>+F258</f>
        <v>0</v>
      </c>
      <c r="G257" s="50">
        <f t="shared" si="39"/>
        <v>0</v>
      </c>
      <c r="H257" s="49">
        <v>0</v>
      </c>
      <c r="I257" s="49">
        <v>0</v>
      </c>
      <c r="J257" s="49">
        <v>0</v>
      </c>
      <c r="K257" s="124">
        <f>+K258</f>
        <v>0</v>
      </c>
      <c r="L257" s="21"/>
      <c r="M257" s="21"/>
      <c r="N257" s="228"/>
      <c r="O257" s="205"/>
      <c r="P257" s="165"/>
      <c r="Q257" s="165"/>
      <c r="R257" s="165"/>
      <c r="BC257" s="326"/>
      <c r="BD257" s="326" t="s">
        <v>84</v>
      </c>
      <c r="BE257" s="326"/>
      <c r="BF257" s="326" t="s">
        <v>226</v>
      </c>
      <c r="BG257" s="327">
        <v>0</v>
      </c>
      <c r="BH257" s="327">
        <v>0</v>
      </c>
      <c r="BI257" s="327">
        <f t="shared" si="35"/>
        <v>0</v>
      </c>
    </row>
    <row r="258" spans="1:61" ht="18">
      <c r="A258" s="367">
        <f t="shared" si="37"/>
        <v>241</v>
      </c>
      <c r="B258" s="390"/>
      <c r="C258" s="410" t="s">
        <v>84</v>
      </c>
      <c r="D258" s="408"/>
      <c r="E258" s="409" t="s">
        <v>226</v>
      </c>
      <c r="F258" s="49">
        <f>+F259</f>
        <v>0</v>
      </c>
      <c r="G258" s="50">
        <f t="shared" si="39"/>
        <v>0</v>
      </c>
      <c r="H258" s="49">
        <v>0</v>
      </c>
      <c r="I258" s="49">
        <v>0</v>
      </c>
      <c r="J258" s="49">
        <v>0</v>
      </c>
      <c r="K258" s="124">
        <f>+K259</f>
        <v>0</v>
      </c>
      <c r="L258" s="21"/>
      <c r="M258" s="21"/>
      <c r="N258" s="228"/>
      <c r="O258" s="165"/>
      <c r="P258" s="165"/>
      <c r="Q258" s="165"/>
      <c r="R258" s="165"/>
      <c r="BC258" s="326"/>
      <c r="BD258" s="326"/>
      <c r="BE258" s="326" t="s">
        <v>41</v>
      </c>
      <c r="BF258" s="326" t="s">
        <v>227</v>
      </c>
      <c r="BG258" s="327">
        <v>0</v>
      </c>
      <c r="BH258" s="327">
        <v>0</v>
      </c>
      <c r="BI258" s="327">
        <f t="shared" si="35"/>
        <v>0</v>
      </c>
    </row>
    <row r="259" spans="1:61" ht="18">
      <c r="A259" s="367">
        <f t="shared" si="37"/>
        <v>242</v>
      </c>
      <c r="B259" s="390"/>
      <c r="C259" s="410"/>
      <c r="D259" s="392" t="s">
        <v>41</v>
      </c>
      <c r="E259" s="411" t="s">
        <v>227</v>
      </c>
      <c r="F259" s="375"/>
      <c r="G259" s="50">
        <f t="shared" si="39"/>
        <v>0</v>
      </c>
      <c r="H259" s="375"/>
      <c r="I259" s="375"/>
      <c r="J259" s="375"/>
      <c r="K259" s="412"/>
      <c r="L259" s="21"/>
      <c r="M259" s="21"/>
      <c r="N259" s="228"/>
      <c r="O259" s="165"/>
      <c r="P259" s="165"/>
      <c r="Q259" s="165"/>
      <c r="R259" s="165"/>
      <c r="BC259" s="326" t="s">
        <v>228</v>
      </c>
      <c r="BD259" s="326"/>
      <c r="BE259" s="326"/>
      <c r="BF259" s="326" t="s">
        <v>229</v>
      </c>
      <c r="BG259" s="327">
        <v>13750000</v>
      </c>
      <c r="BH259" s="327">
        <v>13750000</v>
      </c>
      <c r="BI259" s="327">
        <f t="shared" si="35"/>
        <v>0</v>
      </c>
    </row>
    <row r="260" spans="1:61" ht="26.25">
      <c r="A260" s="367">
        <f t="shared" si="37"/>
        <v>243</v>
      </c>
      <c r="B260" s="404" t="s">
        <v>228</v>
      </c>
      <c r="C260" s="401"/>
      <c r="D260" s="402"/>
      <c r="E260" s="413" t="s">
        <v>229</v>
      </c>
      <c r="F260" s="375">
        <f>'BVC  MS'!F259+'BVC DSP'!F260</f>
        <v>30250</v>
      </c>
      <c r="G260" s="375">
        <f>'BVC  MS'!G259+'BVC DSP'!G260</f>
        <v>13750</v>
      </c>
      <c r="H260" s="375">
        <f>'BVC  MS'!H259+'BVC DSP'!H260</f>
        <v>2683.47</v>
      </c>
      <c r="I260" s="375">
        <f>'BVC  MS'!I259+'BVC DSP'!I260</f>
        <v>0</v>
      </c>
      <c r="J260" s="375">
        <f>'BVC  MS'!J259+'BVC DSP'!J260</f>
        <v>10516.53</v>
      </c>
      <c r="K260" s="375">
        <f>'BVC  MS'!K259+'BVC DSP'!K260</f>
        <v>550</v>
      </c>
      <c r="L260" s="21"/>
      <c r="M260" s="21"/>
      <c r="N260" s="228"/>
      <c r="O260" s="165"/>
      <c r="P260" s="165"/>
      <c r="Q260" s="165"/>
      <c r="R260" s="165"/>
      <c r="BC260" s="326">
        <v>57</v>
      </c>
      <c r="BD260" s="326"/>
      <c r="BE260" s="326"/>
      <c r="BF260" s="326" t="s">
        <v>230</v>
      </c>
      <c r="BG260" s="327">
        <v>0</v>
      </c>
      <c r="BH260" s="327">
        <v>0</v>
      </c>
      <c r="BI260" s="327">
        <f t="shared" si="35"/>
        <v>0</v>
      </c>
    </row>
    <row r="261" spans="1:61" ht="18">
      <c r="A261" s="367">
        <f t="shared" si="37"/>
        <v>244</v>
      </c>
      <c r="B261" s="390">
        <v>57</v>
      </c>
      <c r="C261" s="410"/>
      <c r="D261" s="392"/>
      <c r="E261" s="409" t="s">
        <v>230</v>
      </c>
      <c r="F261" s="109">
        <f>F262+F263</f>
        <v>0</v>
      </c>
      <c r="G261" s="50">
        <f t="shared" si="39"/>
        <v>0</v>
      </c>
      <c r="H261" s="109">
        <v>0</v>
      </c>
      <c r="I261" s="109">
        <v>0</v>
      </c>
      <c r="J261" s="109">
        <v>0</v>
      </c>
      <c r="K261" s="109">
        <f>K262+K263</f>
        <v>0</v>
      </c>
      <c r="L261" s="21"/>
      <c r="M261" s="21"/>
      <c r="N261" s="228"/>
      <c r="O261" s="165"/>
      <c r="P261" s="165"/>
      <c r="Q261" s="165"/>
      <c r="R261" s="165"/>
      <c r="BC261" s="326"/>
      <c r="BD261" s="326" t="s">
        <v>47</v>
      </c>
      <c r="BE261" s="326"/>
      <c r="BF261" s="326" t="s">
        <v>231</v>
      </c>
      <c r="BG261" s="327">
        <v>0</v>
      </c>
      <c r="BH261" s="327">
        <v>0</v>
      </c>
      <c r="BI261" s="327">
        <f t="shared" si="35"/>
        <v>0</v>
      </c>
    </row>
    <row r="262" spans="1:61" ht="18">
      <c r="A262" s="367">
        <f t="shared" si="37"/>
        <v>245</v>
      </c>
      <c r="B262" s="390"/>
      <c r="C262" s="410" t="s">
        <v>47</v>
      </c>
      <c r="D262" s="392"/>
      <c r="E262" s="409" t="s">
        <v>231</v>
      </c>
      <c r="F262" s="109"/>
      <c r="G262" s="50">
        <f t="shared" si="39"/>
        <v>0</v>
      </c>
      <c r="H262" s="109">
        <v>0</v>
      </c>
      <c r="I262" s="109">
        <v>0</v>
      </c>
      <c r="J262" s="109">
        <v>0</v>
      </c>
      <c r="K262" s="109"/>
      <c r="L262" s="21"/>
      <c r="M262" s="21"/>
      <c r="N262" s="228"/>
      <c r="O262" s="165"/>
      <c r="P262" s="165"/>
      <c r="Q262" s="165"/>
      <c r="R262" s="165"/>
      <c r="BC262" s="326"/>
      <c r="BD262" s="326" t="s">
        <v>80</v>
      </c>
      <c r="BE262" s="326"/>
      <c r="BF262" s="326" t="s">
        <v>232</v>
      </c>
      <c r="BG262" s="327">
        <v>0</v>
      </c>
      <c r="BH262" s="327">
        <v>0</v>
      </c>
      <c r="BI262" s="327">
        <f t="shared" si="35"/>
        <v>0</v>
      </c>
    </row>
    <row r="263" spans="1:61" ht="18">
      <c r="A263" s="367">
        <f t="shared" si="37"/>
        <v>246</v>
      </c>
      <c r="B263" s="390"/>
      <c r="C263" s="410" t="s">
        <v>80</v>
      </c>
      <c r="D263" s="392"/>
      <c r="E263" s="411" t="s">
        <v>232</v>
      </c>
      <c r="F263" s="109">
        <f>F264+F265+F267</f>
        <v>0</v>
      </c>
      <c r="G263" s="50">
        <f t="shared" si="39"/>
        <v>0</v>
      </c>
      <c r="H263" s="109">
        <v>0</v>
      </c>
      <c r="I263" s="109">
        <v>0</v>
      </c>
      <c r="J263" s="109">
        <v>0</v>
      </c>
      <c r="K263" s="109">
        <f>K264+K265+K267</f>
        <v>0</v>
      </c>
      <c r="L263" s="21"/>
      <c r="M263" s="21"/>
      <c r="N263" s="228"/>
      <c r="O263" s="165"/>
      <c r="P263" s="165"/>
      <c r="Q263" s="165"/>
      <c r="R263" s="165"/>
      <c r="BC263" s="326"/>
      <c r="BD263" s="326"/>
      <c r="BE263" s="326" t="s">
        <v>47</v>
      </c>
      <c r="BF263" s="326" t="s">
        <v>233</v>
      </c>
      <c r="BG263" s="327">
        <v>0</v>
      </c>
      <c r="BH263" s="327">
        <v>0</v>
      </c>
      <c r="BI263" s="327">
        <f t="shared" si="35"/>
        <v>0</v>
      </c>
    </row>
    <row r="264" spans="1:61" ht="18">
      <c r="A264" s="367">
        <f t="shared" si="37"/>
        <v>247</v>
      </c>
      <c r="B264" s="390"/>
      <c r="C264" s="410"/>
      <c r="D264" s="392" t="s">
        <v>47</v>
      </c>
      <c r="E264" s="411" t="s">
        <v>233</v>
      </c>
      <c r="F264" s="375"/>
      <c r="G264" s="50">
        <f t="shared" si="39"/>
        <v>0</v>
      </c>
      <c r="H264" s="375">
        <f>'BVC  MS'!H263+'BVC DSP'!H264</f>
        <v>0</v>
      </c>
      <c r="I264" s="375">
        <f>'BVC  MS'!I263+'BVC DSP'!I264</f>
        <v>0</v>
      </c>
      <c r="J264" s="375">
        <f>'BVC  MS'!J263+'BVC DSP'!J264</f>
        <v>0</v>
      </c>
      <c r="K264" s="375">
        <f>'BVC  MS'!K263+'BVC DSP'!K264</f>
        <v>0</v>
      </c>
      <c r="L264" s="21"/>
      <c r="M264" s="21"/>
      <c r="N264" s="228"/>
      <c r="O264" s="165"/>
      <c r="P264" s="165"/>
      <c r="Q264" s="165"/>
      <c r="R264" s="165"/>
      <c r="BC264" s="326"/>
      <c r="BD264" s="326"/>
      <c r="BE264" s="326" t="s">
        <v>80</v>
      </c>
      <c r="BF264" s="326" t="s">
        <v>234</v>
      </c>
      <c r="BG264" s="327">
        <v>0</v>
      </c>
      <c r="BH264" s="327">
        <v>0</v>
      </c>
      <c r="BI264" s="327">
        <f t="shared" si="35"/>
        <v>0</v>
      </c>
    </row>
    <row r="265" spans="1:61" ht="18">
      <c r="A265" s="367">
        <f t="shared" si="37"/>
        <v>248</v>
      </c>
      <c r="B265" s="390"/>
      <c r="C265" s="410"/>
      <c r="D265" s="392" t="s">
        <v>80</v>
      </c>
      <c r="E265" s="411" t="s">
        <v>234</v>
      </c>
      <c r="F265" s="375"/>
      <c r="G265" s="50">
        <f t="shared" si="39"/>
        <v>0</v>
      </c>
      <c r="H265" s="375">
        <f>'BVC  MS'!H264+'BVC DSP'!H265</f>
        <v>0</v>
      </c>
      <c r="I265" s="375">
        <f>'BVC  MS'!I264+'BVC DSP'!I265</f>
        <v>0</v>
      </c>
      <c r="J265" s="375">
        <f>'BVC  MS'!J264+'BVC DSP'!J265</f>
        <v>0</v>
      </c>
      <c r="K265" s="375">
        <f>'BVC  MS'!K264+'BVC DSP'!K265</f>
        <v>0</v>
      </c>
      <c r="L265" s="21"/>
      <c r="M265" s="21"/>
      <c r="N265" s="228"/>
      <c r="O265" s="165"/>
      <c r="P265" s="165"/>
      <c r="Q265" s="165"/>
      <c r="R265" s="165"/>
      <c r="BC265" s="326"/>
      <c r="BD265" s="326"/>
      <c r="BE265" s="326" t="s">
        <v>84</v>
      </c>
      <c r="BF265" s="326" t="s">
        <v>235</v>
      </c>
      <c r="BG265" s="327">
        <v>0</v>
      </c>
      <c r="BH265" s="327">
        <v>0</v>
      </c>
      <c r="BI265" s="327">
        <f t="shared" si="35"/>
        <v>0</v>
      </c>
    </row>
    <row r="266" spans="1:61" ht="18">
      <c r="A266" s="367">
        <f t="shared" si="37"/>
        <v>249</v>
      </c>
      <c r="B266" s="390"/>
      <c r="C266" s="410"/>
      <c r="D266" s="392" t="s">
        <v>84</v>
      </c>
      <c r="E266" s="411" t="s">
        <v>235</v>
      </c>
      <c r="F266" s="375"/>
      <c r="G266" s="50">
        <f t="shared" si="39"/>
        <v>0</v>
      </c>
      <c r="H266" s="375">
        <f>'BVC  MS'!H265+'BVC DSP'!H266</f>
        <v>0</v>
      </c>
      <c r="I266" s="375">
        <f>'BVC  MS'!I265+'BVC DSP'!I266</f>
        <v>0</v>
      </c>
      <c r="J266" s="375">
        <f>'BVC  MS'!J265+'BVC DSP'!J266</f>
        <v>0</v>
      </c>
      <c r="K266" s="375">
        <f>'BVC  MS'!K265+'BVC DSP'!K266</f>
        <v>0</v>
      </c>
      <c r="L266" s="21"/>
      <c r="M266" s="21"/>
      <c r="N266" s="228"/>
      <c r="O266" s="165"/>
      <c r="P266" s="165"/>
      <c r="Q266" s="165"/>
      <c r="R266" s="165"/>
      <c r="BC266" s="326"/>
      <c r="BD266" s="326"/>
      <c r="BE266" s="326" t="s">
        <v>108</v>
      </c>
      <c r="BF266" s="326" t="s">
        <v>236</v>
      </c>
      <c r="BG266" s="327">
        <v>0</v>
      </c>
      <c r="BH266" s="327">
        <v>0</v>
      </c>
      <c r="BI266" s="327">
        <f t="shared" si="35"/>
        <v>0</v>
      </c>
    </row>
    <row r="267" spans="1:61" ht="18">
      <c r="A267" s="367">
        <f t="shared" si="37"/>
        <v>250</v>
      </c>
      <c r="B267" s="390"/>
      <c r="C267" s="410"/>
      <c r="D267" s="392" t="s">
        <v>108</v>
      </c>
      <c r="E267" s="411" t="s">
        <v>236</v>
      </c>
      <c r="F267" s="375"/>
      <c r="G267" s="50">
        <f t="shared" si="39"/>
        <v>0</v>
      </c>
      <c r="H267" s="375">
        <f>'BVC  MS'!H266+'BVC DSP'!H267</f>
        <v>0</v>
      </c>
      <c r="I267" s="375">
        <f>'BVC  MS'!I266+'BVC DSP'!I267</f>
        <v>0</v>
      </c>
      <c r="J267" s="375">
        <f>'BVC  MS'!J266+'BVC DSP'!J267</f>
        <v>0</v>
      </c>
      <c r="K267" s="375">
        <f>'BVC  MS'!K266+'BVC DSP'!K267</f>
        <v>0</v>
      </c>
      <c r="L267" s="21"/>
      <c r="M267" s="21"/>
      <c r="N267" s="228"/>
      <c r="O267" s="165"/>
      <c r="P267" s="165"/>
      <c r="Q267" s="165"/>
      <c r="R267" s="165"/>
      <c r="BC267" s="324">
        <v>70</v>
      </c>
      <c r="BD267" s="324"/>
      <c r="BE267" s="324"/>
      <c r="BF267" s="324" t="s">
        <v>237</v>
      </c>
      <c r="BG267" s="325">
        <v>378740</v>
      </c>
      <c r="BH267" s="325">
        <v>378740</v>
      </c>
      <c r="BI267" s="327">
        <f t="shared" si="35"/>
        <v>0</v>
      </c>
    </row>
    <row r="268" spans="1:61" ht="18">
      <c r="A268" s="367">
        <f t="shared" si="37"/>
        <v>251</v>
      </c>
      <c r="B268" s="368">
        <v>70</v>
      </c>
      <c r="C268" s="368"/>
      <c r="D268" s="369"/>
      <c r="E268" s="85" t="s">
        <v>237</v>
      </c>
      <c r="F268" s="49">
        <f>+F269</f>
        <v>0</v>
      </c>
      <c r="G268" s="50">
        <f t="shared" si="39"/>
        <v>378.73999999999995</v>
      </c>
      <c r="H268" s="49">
        <f>+H269</f>
        <v>109.77</v>
      </c>
      <c r="I268" s="49">
        <f>+I269</f>
        <v>165.45</v>
      </c>
      <c r="J268" s="49">
        <f>+J269</f>
        <v>53.52</v>
      </c>
      <c r="K268" s="124">
        <f>+K269</f>
        <v>50</v>
      </c>
      <c r="L268" s="21"/>
      <c r="M268" s="21"/>
      <c r="N268" s="228"/>
      <c r="O268" s="165"/>
      <c r="P268" s="165"/>
      <c r="Q268" s="165"/>
      <c r="R268" s="165"/>
      <c r="BC268" s="326">
        <v>71</v>
      </c>
      <c r="BD268" s="326"/>
      <c r="BE268" s="326"/>
      <c r="BF268" s="326" t="s">
        <v>238</v>
      </c>
      <c r="BG268" s="327">
        <v>378740</v>
      </c>
      <c r="BH268" s="327">
        <v>378740</v>
      </c>
      <c r="BI268" s="327">
        <f t="shared" si="35"/>
        <v>0</v>
      </c>
    </row>
    <row r="269" spans="1:61" ht="18">
      <c r="A269" s="367">
        <f t="shared" si="37"/>
        <v>252</v>
      </c>
      <c r="B269" s="368">
        <v>71</v>
      </c>
      <c r="C269" s="368"/>
      <c r="D269" s="369"/>
      <c r="E269" s="85" t="s">
        <v>238</v>
      </c>
      <c r="F269" s="49">
        <f>+F270+F275</f>
        <v>0</v>
      </c>
      <c r="G269" s="50">
        <f t="shared" si="39"/>
        <v>378.73999999999995</v>
      </c>
      <c r="H269" s="49">
        <f>+H270+H275</f>
        <v>109.77</v>
      </c>
      <c r="I269" s="49">
        <f>+I270+I275</f>
        <v>165.45</v>
      </c>
      <c r="J269" s="49">
        <f>+J270+J275</f>
        <v>53.52</v>
      </c>
      <c r="K269" s="124">
        <f>+K270+K275</f>
        <v>50</v>
      </c>
      <c r="L269" s="21"/>
      <c r="M269" s="21"/>
      <c r="N269" s="228"/>
      <c r="O269" s="165"/>
      <c r="P269" s="165"/>
      <c r="Q269" s="165"/>
      <c r="R269" s="165"/>
      <c r="BC269" s="326"/>
      <c r="BD269" s="326" t="s">
        <v>47</v>
      </c>
      <c r="BE269" s="326"/>
      <c r="BF269" s="326" t="s">
        <v>77</v>
      </c>
      <c r="BG269" s="327">
        <v>378740</v>
      </c>
      <c r="BH269" s="327">
        <v>378740</v>
      </c>
      <c r="BI269" s="327">
        <f t="shared" si="35"/>
        <v>0</v>
      </c>
    </row>
    <row r="270" spans="1:61" ht="18">
      <c r="A270" s="367">
        <f t="shared" si="37"/>
        <v>253</v>
      </c>
      <c r="B270" s="368"/>
      <c r="C270" s="377" t="s">
        <v>47</v>
      </c>
      <c r="D270" s="369"/>
      <c r="E270" s="85" t="s">
        <v>77</v>
      </c>
      <c r="F270" s="49">
        <f>+F271+F272+F273+F274</f>
        <v>0</v>
      </c>
      <c r="G270" s="50">
        <f t="shared" si="39"/>
        <v>378.73999999999995</v>
      </c>
      <c r="H270" s="49">
        <f>+H271+H272+H273+H274</f>
        <v>109.77</v>
      </c>
      <c r="I270" s="49">
        <f>+I271+I272+I273+I274</f>
        <v>165.45</v>
      </c>
      <c r="J270" s="49">
        <f>+J271+J272+J273+J274</f>
        <v>53.52</v>
      </c>
      <c r="K270" s="124">
        <f>+K271+K272+K273+K274</f>
        <v>50</v>
      </c>
      <c r="L270" s="21"/>
      <c r="M270" s="21"/>
      <c r="N270" s="228"/>
      <c r="O270" s="165"/>
      <c r="P270" s="165"/>
      <c r="Q270" s="165"/>
      <c r="R270" s="165"/>
      <c r="BC270" s="321"/>
      <c r="BD270" s="321"/>
      <c r="BE270" s="321"/>
      <c r="BF270" s="321"/>
      <c r="BG270" s="321"/>
      <c r="BH270" s="321"/>
      <c r="BI270" s="321"/>
    </row>
    <row r="271" spans="1:61" ht="18">
      <c r="A271" s="367">
        <f t="shared" si="37"/>
        <v>254</v>
      </c>
      <c r="B271" s="368"/>
      <c r="C271" s="368"/>
      <c r="D271" s="379" t="s">
        <v>47</v>
      </c>
      <c r="E271" s="143" t="s">
        <v>239</v>
      </c>
      <c r="F271" s="375"/>
      <c r="G271" s="50">
        <f t="shared" si="39"/>
        <v>0</v>
      </c>
      <c r="H271" s="375">
        <f>'BVC  MS'!H270+'BVC DSP'!H271</f>
        <v>0</v>
      </c>
      <c r="I271" s="375">
        <f>'BVC  MS'!I270+'BVC DSP'!I271</f>
        <v>0</v>
      </c>
      <c r="J271" s="375">
        <f>'BVC  MS'!J270+'BVC DSP'!J271</f>
        <v>0</v>
      </c>
      <c r="K271" s="375">
        <f>'BVC  MS'!K270+'BVC DSP'!K271</f>
        <v>0</v>
      </c>
      <c r="L271" s="21"/>
      <c r="M271" s="21"/>
      <c r="N271" s="228"/>
      <c r="O271" s="165"/>
      <c r="P271" s="165"/>
      <c r="Q271" s="165"/>
      <c r="R271" s="165"/>
      <c r="BC271" s="321"/>
      <c r="BD271" s="321"/>
      <c r="BE271" s="321"/>
      <c r="BF271" s="321"/>
      <c r="BG271" s="321"/>
      <c r="BH271" s="321"/>
      <c r="BI271" s="321"/>
    </row>
    <row r="272" spans="1:61" ht="18">
      <c r="A272" s="367">
        <f t="shared" si="37"/>
        <v>255</v>
      </c>
      <c r="B272" s="368"/>
      <c r="C272" s="368"/>
      <c r="D272" s="379" t="s">
        <v>80</v>
      </c>
      <c r="E272" s="143" t="s">
        <v>81</v>
      </c>
      <c r="F272" s="375"/>
      <c r="G272" s="50">
        <f t="shared" si="39"/>
        <v>378.73999999999995</v>
      </c>
      <c r="H272" s="375">
        <f>'BVC  MS'!H271+'BVC DSP'!H272</f>
        <v>109.77</v>
      </c>
      <c r="I272" s="375">
        <f>'BVC  MS'!I271+'BVC DSP'!I272</f>
        <v>165.45</v>
      </c>
      <c r="J272" s="375">
        <f>'BVC  MS'!J271+'BVC DSP'!J272</f>
        <v>53.52</v>
      </c>
      <c r="K272" s="375">
        <f>'BVC  MS'!K271+'BVC DSP'!K272</f>
        <v>50</v>
      </c>
      <c r="L272" s="21"/>
      <c r="M272" s="21"/>
      <c r="N272" s="228"/>
      <c r="O272" s="165"/>
      <c r="P272" s="165"/>
      <c r="Q272" s="165"/>
      <c r="R272" s="165"/>
      <c r="BC272" s="321"/>
      <c r="BD272" s="321"/>
      <c r="BE272" s="321"/>
      <c r="BF272" s="321" t="s">
        <v>313</v>
      </c>
      <c r="BG272" s="321"/>
      <c r="BH272" s="321"/>
      <c r="BI272" s="321"/>
    </row>
    <row r="273" spans="1:18" ht="12.75">
      <c r="A273" s="367">
        <f t="shared" si="37"/>
        <v>256</v>
      </c>
      <c r="B273" s="368"/>
      <c r="C273" s="368"/>
      <c r="D273" s="379" t="s">
        <v>84</v>
      </c>
      <c r="E273" s="143" t="s">
        <v>245</v>
      </c>
      <c r="F273" s="375"/>
      <c r="G273" s="50">
        <f t="shared" si="39"/>
        <v>0</v>
      </c>
      <c r="H273" s="375">
        <f>'BVC  MS'!H272+'BVC DSP'!H273</f>
        <v>0</v>
      </c>
      <c r="I273" s="375">
        <f>'BVC  MS'!I272+'BVC DSP'!I273</f>
        <v>0</v>
      </c>
      <c r="J273" s="375">
        <f>'BVC  MS'!J272+'BVC DSP'!J273</f>
        <v>0</v>
      </c>
      <c r="K273" s="375">
        <f>'BVC  MS'!K272+'BVC DSP'!K273</f>
        <v>0</v>
      </c>
      <c r="L273" s="21"/>
      <c r="M273" s="21"/>
      <c r="N273" s="228"/>
      <c r="O273" s="165"/>
      <c r="P273" s="165"/>
      <c r="Q273" s="165"/>
      <c r="R273" s="165"/>
    </row>
    <row r="274" spans="1:18" ht="12.75">
      <c r="A274" s="367">
        <f t="shared" si="37"/>
        <v>257</v>
      </c>
      <c r="B274" s="368"/>
      <c r="C274" s="368"/>
      <c r="D274" s="369">
        <v>30</v>
      </c>
      <c r="E274" s="143" t="s">
        <v>275</v>
      </c>
      <c r="F274" s="375"/>
      <c r="G274" s="50">
        <f t="shared" si="39"/>
        <v>0</v>
      </c>
      <c r="H274" s="375">
        <f>'BVC  MS'!H273+'BVC DSP'!H274</f>
        <v>0</v>
      </c>
      <c r="I274" s="375">
        <f>'BVC  MS'!I273+'BVC DSP'!I274</f>
        <v>0</v>
      </c>
      <c r="J274" s="375">
        <f>'BVC  MS'!J273+'BVC DSP'!J274</f>
        <v>0</v>
      </c>
      <c r="K274" s="375">
        <f>'BVC  MS'!K273+'BVC DSP'!K274</f>
        <v>0</v>
      </c>
      <c r="L274" s="21"/>
      <c r="M274" s="21"/>
      <c r="N274" s="228"/>
      <c r="O274" s="165"/>
      <c r="P274" s="165"/>
      <c r="Q274" s="165"/>
      <c r="R274" s="165"/>
    </row>
    <row r="275" spans="1:18" ht="12.75">
      <c r="A275" s="367">
        <f t="shared" si="37"/>
        <v>258</v>
      </c>
      <c r="B275" s="368"/>
      <c r="C275" s="377" t="s">
        <v>84</v>
      </c>
      <c r="D275" s="369"/>
      <c r="E275" s="143" t="s">
        <v>243</v>
      </c>
      <c r="F275" s="375"/>
      <c r="G275" s="50">
        <f t="shared" si="39"/>
        <v>0</v>
      </c>
      <c r="H275" s="375">
        <f>'BVC  MS'!H274+'BVC DSP'!H275</f>
        <v>0</v>
      </c>
      <c r="I275" s="375">
        <f>'BVC  MS'!I274+'BVC DSP'!I275</f>
        <v>0</v>
      </c>
      <c r="J275" s="375">
        <f>'BVC  MS'!J274+'BVC DSP'!J275</f>
        <v>0</v>
      </c>
      <c r="K275" s="375">
        <f>'BVC  MS'!K274+'BVC DSP'!K275</f>
        <v>0</v>
      </c>
      <c r="L275" s="21"/>
      <c r="M275" s="21"/>
      <c r="N275" s="228"/>
      <c r="O275" s="165"/>
      <c r="P275" s="165"/>
      <c r="Q275" s="165"/>
      <c r="R275" s="165"/>
    </row>
    <row r="276" spans="1:14" ht="12.75">
      <c r="A276" s="367">
        <f t="shared" si="37"/>
        <v>259</v>
      </c>
      <c r="B276" s="368"/>
      <c r="C276" s="368"/>
      <c r="D276" s="369"/>
      <c r="E276" s="85" t="s">
        <v>244</v>
      </c>
      <c r="F276" s="49">
        <f>F277+F278+F279</f>
        <v>0</v>
      </c>
      <c r="G276" s="50">
        <f t="shared" si="39"/>
        <v>328.96999999999997</v>
      </c>
      <c r="H276" s="49">
        <f>H277+H278+H279</f>
        <v>60</v>
      </c>
      <c r="I276" s="49">
        <f>I277+I278+I279</f>
        <v>165.45</v>
      </c>
      <c r="J276" s="49">
        <f>J277+J278+J279</f>
        <v>53.52</v>
      </c>
      <c r="K276" s="49">
        <f>K277+K278+K279</f>
        <v>50</v>
      </c>
      <c r="L276" s="21"/>
      <c r="M276" s="21"/>
      <c r="N276" s="228"/>
    </row>
    <row r="277" spans="1:14" ht="12.75">
      <c r="A277" s="367">
        <f t="shared" si="37"/>
        <v>260</v>
      </c>
      <c r="B277" s="368">
        <v>71</v>
      </c>
      <c r="C277" s="377" t="s">
        <v>47</v>
      </c>
      <c r="D277" s="379" t="s">
        <v>80</v>
      </c>
      <c r="E277" s="66" t="s">
        <v>81</v>
      </c>
      <c r="F277" s="375"/>
      <c r="G277" s="79">
        <f>H277+I277+J277+K277</f>
        <v>328.96999999999997</v>
      </c>
      <c r="H277" s="375">
        <f>'BVC  MS'!H276+'BVC DSP'!H277</f>
        <v>60</v>
      </c>
      <c r="I277" s="375">
        <f>'BVC  MS'!I276+'BVC DSP'!I277</f>
        <v>165.45</v>
      </c>
      <c r="J277" s="375">
        <f>'BVC  MS'!J276+'BVC DSP'!J277</f>
        <v>53.52</v>
      </c>
      <c r="K277" s="375">
        <f>'BVC  MS'!K276+'BVC DSP'!K277</f>
        <v>50</v>
      </c>
      <c r="L277" s="21"/>
      <c r="M277" s="21"/>
      <c r="N277" s="228"/>
    </row>
    <row r="278" spans="1:14" ht="12.75">
      <c r="A278" s="367">
        <f t="shared" si="37"/>
        <v>261</v>
      </c>
      <c r="B278" s="368"/>
      <c r="C278" s="368"/>
      <c r="D278" s="379" t="s">
        <v>84</v>
      </c>
      <c r="E278" s="66" t="s">
        <v>245</v>
      </c>
      <c r="F278" s="375"/>
      <c r="G278" s="79">
        <f>H278+I278+J278+K278</f>
        <v>0</v>
      </c>
      <c r="H278" s="375">
        <f>'BVC  MS'!H277+'BVC DSP'!H278</f>
        <v>0</v>
      </c>
      <c r="I278" s="375">
        <f>'BVC  MS'!I277+'BVC DSP'!I278</f>
        <v>0</v>
      </c>
      <c r="J278" s="375">
        <f>'BVC  MS'!J277+'BVC DSP'!J278</f>
        <v>0</v>
      </c>
      <c r="K278" s="375">
        <f>'BVC  MS'!K277+'BVC DSP'!K278</f>
        <v>0</v>
      </c>
      <c r="L278" s="21"/>
      <c r="M278" s="21"/>
      <c r="N278" s="228"/>
    </row>
    <row r="279" spans="1:14" ht="12.75">
      <c r="A279" s="367">
        <f t="shared" si="37"/>
        <v>262</v>
      </c>
      <c r="B279" s="368"/>
      <c r="C279" s="368"/>
      <c r="D279" s="369">
        <v>30</v>
      </c>
      <c r="E279" s="97" t="s">
        <v>242</v>
      </c>
      <c r="F279" s="375"/>
      <c r="G279" s="79">
        <f>H279+I279+J279+K279</f>
        <v>0</v>
      </c>
      <c r="H279" s="375">
        <f>'BVC  MS'!H278+'BVC DSP'!H279</f>
        <v>0</v>
      </c>
      <c r="I279" s="375">
        <f>'BVC  MS'!I278+'BVC DSP'!I279</f>
        <v>0</v>
      </c>
      <c r="J279" s="375">
        <f>'BVC  MS'!J278+'BVC DSP'!J279</f>
        <v>0</v>
      </c>
      <c r="K279" s="375">
        <f>'BVC  MS'!K278+'BVC DSP'!K279</f>
        <v>0</v>
      </c>
      <c r="L279" s="21"/>
      <c r="M279" s="21"/>
      <c r="N279" s="228"/>
    </row>
    <row r="280" spans="1:14" ht="12.75">
      <c r="A280" s="367">
        <f t="shared" si="37"/>
        <v>263</v>
      </c>
      <c r="B280" s="368"/>
      <c r="C280" s="368"/>
      <c r="D280" s="369"/>
      <c r="E280" s="85" t="s">
        <v>276</v>
      </c>
      <c r="F280" s="79">
        <f>F282</f>
        <v>30250</v>
      </c>
      <c r="G280" s="50">
        <f>H280+I280+J280+K280</f>
        <v>123569.95999999999</v>
      </c>
      <c r="H280" s="79">
        <f>H282</f>
        <v>27086.6</v>
      </c>
      <c r="I280" s="79">
        <f>I282</f>
        <v>20977.67</v>
      </c>
      <c r="J280" s="79">
        <f>J282</f>
        <v>40474.41</v>
      </c>
      <c r="K280" s="79">
        <f>K282</f>
        <v>35031.28</v>
      </c>
      <c r="L280" s="21"/>
      <c r="N280" s="167"/>
    </row>
    <row r="281" spans="1:14" ht="12.75">
      <c r="A281" s="367"/>
      <c r="B281" s="368" t="s">
        <v>18</v>
      </c>
      <c r="C281" s="368" t="s">
        <v>247</v>
      </c>
      <c r="D281" s="86" t="s">
        <v>20</v>
      </c>
      <c r="E281" s="66"/>
      <c r="F281" s="79"/>
      <c r="G281" s="79"/>
      <c r="H281" s="79"/>
      <c r="I281" s="79"/>
      <c r="J281" s="79"/>
      <c r="K281" s="393"/>
      <c r="L281" s="21"/>
      <c r="N281" s="167"/>
    </row>
    <row r="282" spans="1:14" ht="12.75">
      <c r="A282" s="367">
        <f>A280+1</f>
        <v>264</v>
      </c>
      <c r="B282" s="377" t="s">
        <v>248</v>
      </c>
      <c r="C282" s="368"/>
      <c r="D282" s="369"/>
      <c r="E282" s="85" t="s">
        <v>249</v>
      </c>
      <c r="F282" s="49">
        <f>+F283+F286+F287+F290+F291</f>
        <v>30250</v>
      </c>
      <c r="G282" s="50">
        <f aca="true" t="shared" si="40" ref="G282:G294">H282+I282+J282+K282</f>
        <v>123569.95999999999</v>
      </c>
      <c r="H282" s="49">
        <f>+H283+H286+H287+H290+H291</f>
        <v>27086.6</v>
      </c>
      <c r="I282" s="49">
        <f>+I283+I286+I287+I290+I291</f>
        <v>20977.67</v>
      </c>
      <c r="J282" s="49">
        <f>+J283+J286+J287+J290+J291</f>
        <v>40474.41</v>
      </c>
      <c r="K282" s="124">
        <f>+K283+K286+K287+K290+K291</f>
        <v>35031.28</v>
      </c>
      <c r="L282" s="21"/>
      <c r="N282" s="167"/>
    </row>
    <row r="283" spans="1:14" ht="12.75">
      <c r="A283" s="367">
        <f t="shared" si="37"/>
        <v>265</v>
      </c>
      <c r="B283" s="368"/>
      <c r="C283" s="377" t="s">
        <v>108</v>
      </c>
      <c r="D283" s="369"/>
      <c r="E283" s="85" t="s">
        <v>250</v>
      </c>
      <c r="F283" s="49">
        <f>+F284+F285</f>
        <v>0</v>
      </c>
      <c r="G283" s="50">
        <f t="shared" si="40"/>
        <v>0</v>
      </c>
      <c r="H283" s="49">
        <f>+H284+H285</f>
        <v>0</v>
      </c>
      <c r="I283" s="49">
        <f>+I284+I285</f>
        <v>0</v>
      </c>
      <c r="J283" s="49">
        <f>+J284+J285</f>
        <v>0</v>
      </c>
      <c r="K283" s="124">
        <f>+K284+K285</f>
        <v>0</v>
      </c>
      <c r="L283" s="21"/>
      <c r="N283" s="167"/>
    </row>
    <row r="284" spans="1:14" ht="12.75">
      <c r="A284" s="367">
        <f t="shared" si="37"/>
        <v>266</v>
      </c>
      <c r="B284" s="368"/>
      <c r="C284" s="368"/>
      <c r="D284" s="379" t="s">
        <v>80</v>
      </c>
      <c r="E284" s="66" t="s">
        <v>277</v>
      </c>
      <c r="F284" s="375"/>
      <c r="G284" s="79">
        <f t="shared" si="40"/>
        <v>0</v>
      </c>
      <c r="H284" s="375">
        <f>'BVC  MS'!H283+'BVC DSP'!H284</f>
        <v>0</v>
      </c>
      <c r="I284" s="375">
        <f>'BVC  MS'!I283+'BVC DSP'!I284</f>
        <v>0</v>
      </c>
      <c r="J284" s="375">
        <f>'BVC  MS'!J283+'BVC DSP'!J284</f>
        <v>0</v>
      </c>
      <c r="K284" s="375">
        <f>'BVC  MS'!K283+'BVC DSP'!K284</f>
        <v>0</v>
      </c>
      <c r="L284" s="21"/>
      <c r="N284" s="167"/>
    </row>
    <row r="285" spans="1:14" ht="12.75">
      <c r="A285" s="367">
        <f t="shared" si="37"/>
        <v>267</v>
      </c>
      <c r="B285" s="368"/>
      <c r="C285" s="368"/>
      <c r="D285" s="369">
        <v>50</v>
      </c>
      <c r="E285" s="66" t="s">
        <v>278</v>
      </c>
      <c r="F285" s="375"/>
      <c r="G285" s="79">
        <f t="shared" si="40"/>
        <v>0</v>
      </c>
      <c r="H285" s="375">
        <f>'BVC  MS'!H284+'BVC DSP'!H285</f>
        <v>0</v>
      </c>
      <c r="I285" s="375">
        <f>'BVC  MS'!I284+'BVC DSP'!I285</f>
        <v>0</v>
      </c>
      <c r="J285" s="375">
        <f>'BVC  MS'!J284+'BVC DSP'!J285</f>
        <v>0</v>
      </c>
      <c r="K285" s="375">
        <f>'BVC  MS'!K284+'BVC DSP'!K285</f>
        <v>0</v>
      </c>
      <c r="L285" s="21"/>
      <c r="N285" s="167"/>
    </row>
    <row r="286" spans="1:14" ht="12.75">
      <c r="A286" s="367">
        <f t="shared" si="37"/>
        <v>268</v>
      </c>
      <c r="B286" s="368"/>
      <c r="C286" s="377" t="s">
        <v>41</v>
      </c>
      <c r="D286" s="369"/>
      <c r="E286" s="59" t="s">
        <v>253</v>
      </c>
      <c r="F286" s="50">
        <v>0</v>
      </c>
      <c r="G286" s="50">
        <f t="shared" si="40"/>
        <v>0</v>
      </c>
      <c r="H286" s="50">
        <v>0</v>
      </c>
      <c r="I286" s="50">
        <v>0</v>
      </c>
      <c r="J286" s="50">
        <v>0</v>
      </c>
      <c r="K286" s="414">
        <v>0</v>
      </c>
      <c r="L286" s="21"/>
      <c r="N286" s="167"/>
    </row>
    <row r="287" spans="1:14" ht="12.75">
      <c r="A287" s="367">
        <f t="shared" si="37"/>
        <v>269</v>
      </c>
      <c r="B287" s="368"/>
      <c r="C287" s="377" t="s">
        <v>154</v>
      </c>
      <c r="D287" s="369"/>
      <c r="E287" s="85" t="s">
        <v>279</v>
      </c>
      <c r="F287" s="49">
        <f>+F288+F289</f>
        <v>30250</v>
      </c>
      <c r="G287" s="50">
        <f t="shared" si="40"/>
        <v>123569.95999999999</v>
      </c>
      <c r="H287" s="49">
        <f>+H288+H289</f>
        <v>27086.6</v>
      </c>
      <c r="I287" s="49">
        <f>+I288+I289</f>
        <v>20977.67</v>
      </c>
      <c r="J287" s="49">
        <f>+J288+J289</f>
        <v>40474.41</v>
      </c>
      <c r="K287" s="124">
        <f>+K288+K289</f>
        <v>35031.28</v>
      </c>
      <c r="L287" s="21"/>
      <c r="N287" s="167"/>
    </row>
    <row r="288" spans="1:14" ht="12.75">
      <c r="A288" s="367">
        <f t="shared" si="37"/>
        <v>270</v>
      </c>
      <c r="B288" s="368"/>
      <c r="C288" s="368"/>
      <c r="D288" s="379" t="s">
        <v>47</v>
      </c>
      <c r="E288" s="66" t="s">
        <v>255</v>
      </c>
      <c r="F288" s="375">
        <v>30250</v>
      </c>
      <c r="G288" s="79">
        <f t="shared" si="40"/>
        <v>123569.95999999999</v>
      </c>
      <c r="H288" s="375">
        <v>27086.6</v>
      </c>
      <c r="I288" s="375">
        <v>20977.67</v>
      </c>
      <c r="J288" s="375">
        <v>40474.41</v>
      </c>
      <c r="K288" s="375">
        <v>35031.28</v>
      </c>
      <c r="L288" s="21">
        <v>35021.71</v>
      </c>
      <c r="N288" s="167"/>
    </row>
    <row r="289" spans="1:23" ht="12.75">
      <c r="A289" s="367">
        <f t="shared" si="37"/>
        <v>271</v>
      </c>
      <c r="B289" s="368"/>
      <c r="C289" s="368"/>
      <c r="D289" s="379" t="s">
        <v>154</v>
      </c>
      <c r="E289" s="66" t="s">
        <v>256</v>
      </c>
      <c r="F289" s="375"/>
      <c r="G289" s="79">
        <f t="shared" si="40"/>
        <v>0</v>
      </c>
      <c r="H289" s="375">
        <f>'BVC  MS'!H288+'BVC DSP'!H289</f>
        <v>0</v>
      </c>
      <c r="I289" s="375">
        <f>'BVC  MS'!I288+'BVC DSP'!I289</f>
        <v>0</v>
      </c>
      <c r="J289" s="375">
        <f>'BVC  MS'!J288+'BVC DSP'!J289</f>
        <v>0</v>
      </c>
      <c r="K289" s="375">
        <f>'BVC  MS'!K288+'BVC DSP'!K289</f>
        <v>0</v>
      </c>
      <c r="L289" s="21"/>
      <c r="N289" s="217"/>
      <c r="O289" s="123"/>
      <c r="P289" s="123"/>
      <c r="Q289" s="123"/>
      <c r="R289" s="123"/>
      <c r="S289" s="123"/>
      <c r="T289" s="123"/>
      <c r="U289" s="123"/>
      <c r="V289" s="123"/>
      <c r="W289" s="123"/>
    </row>
    <row r="290" spans="1:23" ht="12.75">
      <c r="A290" s="367">
        <f t="shared" si="37"/>
        <v>272</v>
      </c>
      <c r="B290" s="368"/>
      <c r="C290" s="368">
        <v>10</v>
      </c>
      <c r="D290" s="369"/>
      <c r="E290" s="85" t="s">
        <v>280</v>
      </c>
      <c r="F290" s="415"/>
      <c r="G290" s="79">
        <f t="shared" si="40"/>
        <v>0</v>
      </c>
      <c r="H290" s="375">
        <f>'BVC  MS'!H289+'BVC DSP'!H290</f>
        <v>0</v>
      </c>
      <c r="I290" s="375">
        <f>'BVC  MS'!I289+'BVC DSP'!I290</f>
        <v>0</v>
      </c>
      <c r="J290" s="375">
        <f>'BVC  MS'!J289+'BVC DSP'!J290</f>
        <v>0</v>
      </c>
      <c r="K290" s="375">
        <f>'BVC  MS'!K289+'BVC DSP'!K290</f>
        <v>0</v>
      </c>
      <c r="L290" s="21"/>
      <c r="N290" s="217"/>
      <c r="O290" s="123"/>
      <c r="P290" s="214"/>
      <c r="Q290" s="123"/>
      <c r="R290" s="123"/>
      <c r="S290" s="123"/>
      <c r="T290" s="123"/>
      <c r="U290" s="123"/>
      <c r="V290" s="123"/>
      <c r="W290" s="123"/>
    </row>
    <row r="291" spans="1:23" ht="12.75">
      <c r="A291" s="367">
        <f t="shared" si="37"/>
        <v>273</v>
      </c>
      <c r="B291" s="368"/>
      <c r="C291" s="368">
        <v>50</v>
      </c>
      <c r="D291" s="369"/>
      <c r="E291" s="85" t="s">
        <v>281</v>
      </c>
      <c r="F291" s="49">
        <f>+F292+F293</f>
        <v>0</v>
      </c>
      <c r="G291" s="50">
        <f t="shared" si="40"/>
        <v>0</v>
      </c>
      <c r="H291" s="49">
        <f>+H292+H293</f>
        <v>0</v>
      </c>
      <c r="I291" s="49">
        <f>+I292+I293</f>
        <v>0</v>
      </c>
      <c r="J291" s="49">
        <f>+J292+J293</f>
        <v>0</v>
      </c>
      <c r="K291" s="124">
        <f>+K292+K293</f>
        <v>0</v>
      </c>
      <c r="L291" s="21"/>
      <c r="N291" s="217"/>
      <c r="O291" s="123"/>
      <c r="P291" s="123"/>
      <c r="Q291" s="123"/>
      <c r="R291" s="123"/>
      <c r="S291" s="123"/>
      <c r="T291" s="123"/>
      <c r="U291" s="123"/>
      <c r="V291" s="123"/>
      <c r="W291" s="123"/>
    </row>
    <row r="292" spans="1:23" ht="12.75">
      <c r="A292" s="367">
        <f t="shared" si="37"/>
        <v>274</v>
      </c>
      <c r="B292" s="368"/>
      <c r="C292" s="368"/>
      <c r="D292" s="379" t="s">
        <v>47</v>
      </c>
      <c r="E292" s="66" t="s">
        <v>282</v>
      </c>
      <c r="F292" s="375"/>
      <c r="G292" s="79">
        <f t="shared" si="40"/>
        <v>0</v>
      </c>
      <c r="H292" s="375">
        <f>'BVC  MS'!H291+'BVC DSP'!H292</f>
        <v>0</v>
      </c>
      <c r="I292" s="375">
        <f>'BVC  MS'!I291+'BVC DSP'!I292</f>
        <v>0</v>
      </c>
      <c r="J292" s="375">
        <f>'BVC  MS'!J291+'BVC DSP'!J292</f>
        <v>0</v>
      </c>
      <c r="K292" s="375">
        <f>'BVC  MS'!K291+'BVC DSP'!K292</f>
        <v>0</v>
      </c>
      <c r="L292" s="21"/>
      <c r="N292" s="217"/>
      <c r="O292" s="214"/>
      <c r="P292" s="214"/>
      <c r="Q292" s="214"/>
      <c r="R292" s="214"/>
      <c r="S292" s="123"/>
      <c r="T292" s="123"/>
      <c r="U292" s="123"/>
      <c r="V292" s="123"/>
      <c r="W292" s="123"/>
    </row>
    <row r="293" spans="1:23" ht="12.75">
      <c r="A293" s="367">
        <f t="shared" si="37"/>
        <v>275</v>
      </c>
      <c r="B293" s="368"/>
      <c r="C293" s="368"/>
      <c r="D293" s="369">
        <v>50</v>
      </c>
      <c r="E293" s="66" t="s">
        <v>283</v>
      </c>
      <c r="F293" s="375"/>
      <c r="G293" s="79">
        <f t="shared" si="40"/>
        <v>0</v>
      </c>
      <c r="H293" s="375">
        <f>'BVC  MS'!H292+'BVC DSP'!H293</f>
        <v>0</v>
      </c>
      <c r="I293" s="375">
        <f>'BVC  MS'!I292+'BVC DSP'!I293</f>
        <v>0</v>
      </c>
      <c r="J293" s="375">
        <f>'BVC  MS'!J292+'BVC DSP'!J293</f>
        <v>0</v>
      </c>
      <c r="K293" s="375">
        <f>'BVC  MS'!K292+'BVC DSP'!K293</f>
        <v>0</v>
      </c>
      <c r="L293" s="21"/>
      <c r="N293" s="217"/>
      <c r="O293" s="123"/>
      <c r="P293" s="123"/>
      <c r="Q293" s="123"/>
      <c r="R293" s="123"/>
      <c r="S293" s="123"/>
      <c r="T293" s="123"/>
      <c r="U293" s="123"/>
      <c r="V293" s="123"/>
      <c r="W293" s="123"/>
    </row>
    <row r="294" spans="1:23" ht="12.75">
      <c r="A294" s="367">
        <f t="shared" si="37"/>
        <v>276</v>
      </c>
      <c r="B294" s="368"/>
      <c r="C294" s="368"/>
      <c r="D294" s="369"/>
      <c r="E294" s="407" t="s">
        <v>284</v>
      </c>
      <c r="F294" s="49">
        <f>+F296+F384</f>
        <v>0</v>
      </c>
      <c r="G294" s="50">
        <f t="shared" si="40"/>
        <v>31206</v>
      </c>
      <c r="H294" s="49">
        <f>+H296+H384</f>
        <v>7538</v>
      </c>
      <c r="I294" s="49">
        <f>+I296+I384</f>
        <v>6844</v>
      </c>
      <c r="J294" s="49">
        <f>+J296+J384</f>
        <v>8477</v>
      </c>
      <c r="K294" s="124">
        <f>+K296+K384</f>
        <v>8347</v>
      </c>
      <c r="L294" s="21"/>
      <c r="M294" s="21"/>
      <c r="N294" s="313">
        <v>6844</v>
      </c>
      <c r="O294" s="215">
        <v>8479</v>
      </c>
      <c r="P294" s="215">
        <v>8347</v>
      </c>
      <c r="Q294" s="216"/>
      <c r="R294" s="216"/>
      <c r="S294" s="123"/>
      <c r="T294" s="123"/>
      <c r="U294" s="123"/>
      <c r="V294" s="123"/>
      <c r="W294" s="123"/>
    </row>
    <row r="295" spans="1:23" ht="12.75">
      <c r="A295" s="367"/>
      <c r="B295" s="368" t="s">
        <v>59</v>
      </c>
      <c r="C295" s="368" t="s">
        <v>60</v>
      </c>
      <c r="D295" s="86" t="s">
        <v>61</v>
      </c>
      <c r="E295" s="66"/>
      <c r="F295" s="79"/>
      <c r="G295" s="79"/>
      <c r="H295" s="79"/>
      <c r="I295" s="79"/>
      <c r="J295" s="79"/>
      <c r="K295" s="393"/>
      <c r="L295" s="21"/>
      <c r="M295" s="21"/>
      <c r="N295" s="313"/>
      <c r="O295" s="217"/>
      <c r="P295" s="217"/>
      <c r="Q295" s="218"/>
      <c r="R295" s="218"/>
      <c r="S295" s="123"/>
      <c r="T295" s="123"/>
      <c r="U295" s="123"/>
      <c r="V295" s="123"/>
      <c r="W295" s="123"/>
    </row>
    <row r="296" spans="1:23" ht="12.75">
      <c r="A296" s="367">
        <f>A294+1</f>
        <v>277</v>
      </c>
      <c r="B296" s="368"/>
      <c r="C296" s="368"/>
      <c r="D296" s="86"/>
      <c r="E296" s="85" t="s">
        <v>285</v>
      </c>
      <c r="F296" s="49">
        <f>+F297+F331+F373+F376+F377</f>
        <v>0</v>
      </c>
      <c r="G296" s="50">
        <f aca="true" t="shared" si="41" ref="G296:G359">H296+I296+J296+K296</f>
        <v>26915</v>
      </c>
      <c r="H296" s="166">
        <f>+H297+H331+H373</f>
        <v>6238</v>
      </c>
      <c r="I296" s="166">
        <f>+I297+I331+I373</f>
        <v>6844</v>
      </c>
      <c r="J296" s="166">
        <f>+J297+J331+J373</f>
        <v>7085.000000000001</v>
      </c>
      <c r="K296" s="166">
        <f>+K297+K331+K373</f>
        <v>6748</v>
      </c>
      <c r="L296" s="21"/>
      <c r="M296" s="21"/>
      <c r="N296" s="313"/>
      <c r="O296" s="215"/>
      <c r="P296" s="215"/>
      <c r="Q296" s="216"/>
      <c r="R296" s="216"/>
      <c r="S296" s="219"/>
      <c r="T296" s="99"/>
      <c r="U296" s="123"/>
      <c r="V296" s="123"/>
      <c r="W296" s="123"/>
    </row>
    <row r="297" spans="1:23" ht="12.75">
      <c r="A297" s="367">
        <f aca="true" t="shared" si="42" ref="A297:A360">A296+1</f>
        <v>278</v>
      </c>
      <c r="B297" s="368">
        <v>10</v>
      </c>
      <c r="C297" s="368"/>
      <c r="D297" s="86"/>
      <c r="E297" s="85" t="s">
        <v>286</v>
      </c>
      <c r="F297" s="49">
        <f>+F298+F316+F323</f>
        <v>0</v>
      </c>
      <c r="G297" s="50">
        <f t="shared" si="41"/>
        <v>22460</v>
      </c>
      <c r="H297" s="166">
        <f>+H298+H316+H323</f>
        <v>5168.76</v>
      </c>
      <c r="I297" s="166">
        <f>+I298+I316+I323</f>
        <v>5708.85</v>
      </c>
      <c r="J297" s="166">
        <f>+J298+J316+J323</f>
        <v>5906.990000000001</v>
      </c>
      <c r="K297" s="166">
        <f>+K298+K316+K323</f>
        <v>5675.4</v>
      </c>
      <c r="L297" s="21"/>
      <c r="M297" s="21"/>
      <c r="N297" s="314"/>
      <c r="O297" s="217"/>
      <c r="P297" s="217"/>
      <c r="Q297" s="218"/>
      <c r="R297" s="218"/>
      <c r="S297" s="219"/>
      <c r="T297" s="99"/>
      <c r="U297" s="123"/>
      <c r="V297" s="123"/>
      <c r="W297" s="123"/>
    </row>
    <row r="298" spans="1:23" ht="12.75">
      <c r="A298" s="367">
        <f t="shared" si="42"/>
        <v>279</v>
      </c>
      <c r="B298" s="368"/>
      <c r="C298" s="377" t="s">
        <v>47</v>
      </c>
      <c r="D298" s="369"/>
      <c r="E298" s="85" t="s">
        <v>142</v>
      </c>
      <c r="F298" s="49">
        <f>+F299+F300+F301+F302+F303+F304+F305+F306+F307+F308+F309+F310+F311+F312+F313+F314+F315</f>
        <v>0</v>
      </c>
      <c r="G298" s="50">
        <f t="shared" si="41"/>
        <v>16578.41</v>
      </c>
      <c r="H298" s="166">
        <f>+H299+H300+H301+H302+H303+H304+H305+H306+H307+H308+H309+H310+H311+H312+H313+H314+H315</f>
        <v>3914.39</v>
      </c>
      <c r="I298" s="166">
        <f>+I299+I300+I301+I302+I303+I304+I305+I306+I307+I308+I309+I310+I311+I312+I313+I314+I315</f>
        <v>4153.92</v>
      </c>
      <c r="J298" s="166">
        <f>+J299+J300+J301+J302+J303+J304+J305+J306+J307+J308+J309+J310+J311+J312+J313+J314+J315</f>
        <v>4275.280000000001</v>
      </c>
      <c r="K298" s="166">
        <f>+K299+K300+K301+K302+K303+K304+K305+K306+K307+K308+K309+K310+K311+K312+K313+K314+K315</f>
        <v>4234.82</v>
      </c>
      <c r="L298" s="21"/>
      <c r="M298" s="21"/>
      <c r="N298" s="217"/>
      <c r="O298" s="217"/>
      <c r="P298" s="217"/>
      <c r="Q298" s="218"/>
      <c r="R298" s="218"/>
      <c r="S298" s="220"/>
      <c r="T298" s="130"/>
      <c r="U298" s="123"/>
      <c r="V298" s="123"/>
      <c r="W298" s="123"/>
    </row>
    <row r="299" spans="1:23" ht="12.75">
      <c r="A299" s="367">
        <f t="shared" si="42"/>
        <v>280</v>
      </c>
      <c r="B299" s="368"/>
      <c r="C299" s="368"/>
      <c r="D299" s="379" t="s">
        <v>47</v>
      </c>
      <c r="E299" s="66" t="s">
        <v>144</v>
      </c>
      <c r="F299" s="416"/>
      <c r="G299" s="79">
        <f t="shared" si="41"/>
        <v>12761.710000000001</v>
      </c>
      <c r="H299" s="375">
        <f>'BVC  MS'!H298+'BVC DSP'!H299</f>
        <v>2954.55</v>
      </c>
      <c r="I299" s="375">
        <f>'BVC  MS'!I298+'BVC DSP'!I299</f>
        <v>3183.7400000000002</v>
      </c>
      <c r="J299" s="375">
        <f>'BVC  MS'!J298+'BVC DSP'!J299</f>
        <v>3310.19</v>
      </c>
      <c r="K299" s="375">
        <f>'BVC  MS'!K298+'BVC DSP'!K299</f>
        <v>3313.23</v>
      </c>
      <c r="L299" s="21">
        <v>12761.71</v>
      </c>
      <c r="M299" s="21">
        <f>G299-L299</f>
        <v>0</v>
      </c>
      <c r="N299" s="217"/>
      <c r="O299" s="217"/>
      <c r="P299" s="217"/>
      <c r="Q299" s="218"/>
      <c r="R299" s="218"/>
      <c r="S299" s="219"/>
      <c r="T299" s="221"/>
      <c r="U299" s="123"/>
      <c r="V299" s="123"/>
      <c r="W299" s="123"/>
    </row>
    <row r="300" spans="1:23" ht="12.75">
      <c r="A300" s="367">
        <f t="shared" si="42"/>
        <v>281</v>
      </c>
      <c r="B300" s="368"/>
      <c r="C300" s="368"/>
      <c r="D300" s="379" t="s">
        <v>80</v>
      </c>
      <c r="E300" s="66" t="s">
        <v>146</v>
      </c>
      <c r="F300" s="416"/>
      <c r="G300" s="79">
        <f t="shared" si="41"/>
        <v>0</v>
      </c>
      <c r="H300" s="375">
        <f>'BVC  MS'!H299+'BVC DSP'!H300</f>
        <v>0</v>
      </c>
      <c r="I300" s="375">
        <f>'BVC  MS'!I299+'BVC DSP'!I300</f>
        <v>0</v>
      </c>
      <c r="J300" s="375">
        <f>'BVC  MS'!J299+'BVC DSP'!J300</f>
        <v>0</v>
      </c>
      <c r="K300" s="375">
        <f>'BVC  MS'!K299+'BVC DSP'!K300</f>
        <v>0</v>
      </c>
      <c r="L300" s="21">
        <v>0</v>
      </c>
      <c r="M300" s="21">
        <f aca="true" t="shared" si="43" ref="M300:M355">G300-L300</f>
        <v>0</v>
      </c>
      <c r="N300" s="217"/>
      <c r="O300" s="217"/>
      <c r="P300" s="217"/>
      <c r="Q300" s="218"/>
      <c r="R300" s="218"/>
      <c r="S300" s="219"/>
      <c r="T300" s="221"/>
      <c r="U300" s="123"/>
      <c r="V300" s="123"/>
      <c r="W300" s="123"/>
    </row>
    <row r="301" spans="1:23" ht="12.75">
      <c r="A301" s="367">
        <f t="shared" si="42"/>
        <v>282</v>
      </c>
      <c r="B301" s="368"/>
      <c r="C301" s="368"/>
      <c r="D301" s="379" t="s">
        <v>84</v>
      </c>
      <c r="E301" s="66" t="s">
        <v>148</v>
      </c>
      <c r="F301" s="416"/>
      <c r="G301" s="79">
        <f t="shared" si="41"/>
        <v>0</v>
      </c>
      <c r="H301" s="375">
        <f>'BVC  MS'!H300+'BVC DSP'!H301</f>
        <v>0</v>
      </c>
      <c r="I301" s="375">
        <f>'BVC  MS'!I300+'BVC DSP'!I301</f>
        <v>0</v>
      </c>
      <c r="J301" s="375">
        <f>'BVC  MS'!J300+'BVC DSP'!J301</f>
        <v>0</v>
      </c>
      <c r="K301" s="375">
        <f>'BVC  MS'!K300+'BVC DSP'!K301</f>
        <v>0</v>
      </c>
      <c r="L301" s="21">
        <v>0</v>
      </c>
      <c r="M301" s="21">
        <f t="shared" si="43"/>
        <v>0</v>
      </c>
      <c r="N301" s="217"/>
      <c r="O301" s="217"/>
      <c r="P301" s="217"/>
      <c r="Q301" s="218"/>
      <c r="R301" s="218"/>
      <c r="S301" s="219"/>
      <c r="T301" s="221"/>
      <c r="U301" s="123"/>
      <c r="V301" s="123"/>
      <c r="W301" s="123"/>
    </row>
    <row r="302" spans="1:23" ht="12.75">
      <c r="A302" s="367">
        <f t="shared" si="42"/>
        <v>283</v>
      </c>
      <c r="B302" s="368"/>
      <c r="C302" s="368"/>
      <c r="D302" s="379" t="s">
        <v>108</v>
      </c>
      <c r="E302" s="66" t="s">
        <v>150</v>
      </c>
      <c r="F302" s="416"/>
      <c r="G302" s="79">
        <f t="shared" si="41"/>
        <v>0</v>
      </c>
      <c r="H302" s="375">
        <f>'BVC  MS'!H301+'BVC DSP'!H302</f>
        <v>0</v>
      </c>
      <c r="I302" s="375">
        <f>'BVC  MS'!I301+'BVC DSP'!I302</f>
        <v>0</v>
      </c>
      <c r="J302" s="375">
        <f>'BVC  MS'!J301+'BVC DSP'!J302</f>
        <v>0</v>
      </c>
      <c r="K302" s="375">
        <f>'BVC  MS'!K301+'BVC DSP'!K302</f>
        <v>0</v>
      </c>
      <c r="L302" s="21">
        <v>0</v>
      </c>
      <c r="M302" s="21">
        <f t="shared" si="43"/>
        <v>0</v>
      </c>
      <c r="N302" s="217"/>
      <c r="O302" s="217"/>
      <c r="P302" s="217"/>
      <c r="Q302" s="218"/>
      <c r="R302" s="218"/>
      <c r="S302" s="219"/>
      <c r="T302" s="221"/>
      <c r="U302" s="123"/>
      <c r="V302" s="123"/>
      <c r="W302" s="123"/>
    </row>
    <row r="303" spans="1:23" ht="12.75">
      <c r="A303" s="367">
        <f t="shared" si="42"/>
        <v>284</v>
      </c>
      <c r="B303" s="368"/>
      <c r="C303" s="368"/>
      <c r="D303" s="379" t="s">
        <v>41</v>
      </c>
      <c r="E303" s="66" t="s">
        <v>152</v>
      </c>
      <c r="F303" s="416"/>
      <c r="G303" s="79">
        <f t="shared" si="41"/>
        <v>2958.0099999999998</v>
      </c>
      <c r="H303" s="375">
        <f>'BVC  MS'!H302+'BVC DSP'!H303</f>
        <v>755.7</v>
      </c>
      <c r="I303" s="375">
        <f>'BVC  MS'!I302+'BVC DSP'!I303</f>
        <v>762.47</v>
      </c>
      <c r="J303" s="375">
        <f>'BVC  MS'!J302+'BVC DSP'!J303</f>
        <v>736.45</v>
      </c>
      <c r="K303" s="375">
        <f>'BVC  MS'!K302+'BVC DSP'!K303</f>
        <v>703.39</v>
      </c>
      <c r="L303" s="21">
        <v>2958.01</v>
      </c>
      <c r="M303" s="21">
        <f t="shared" si="43"/>
        <v>0</v>
      </c>
      <c r="N303" s="217"/>
      <c r="O303" s="217"/>
      <c r="P303" s="217"/>
      <c r="Q303" s="218"/>
      <c r="R303" s="218"/>
      <c r="S303" s="219"/>
      <c r="T303" s="221"/>
      <c r="U303" s="123"/>
      <c r="V303" s="123"/>
      <c r="W303" s="123"/>
    </row>
    <row r="304" spans="1:23" ht="12.75">
      <c r="A304" s="367">
        <f t="shared" si="42"/>
        <v>285</v>
      </c>
      <c r="B304" s="368"/>
      <c r="C304" s="368"/>
      <c r="D304" s="379" t="s">
        <v>154</v>
      </c>
      <c r="E304" s="66" t="s">
        <v>155</v>
      </c>
      <c r="F304" s="416"/>
      <c r="G304" s="79">
        <f t="shared" si="41"/>
        <v>367.49</v>
      </c>
      <c r="H304" s="375">
        <f>'BVC  MS'!H303+'BVC DSP'!H304</f>
        <v>94.85</v>
      </c>
      <c r="I304" s="375">
        <f>'BVC  MS'!I303+'BVC DSP'!I304</f>
        <v>92.17</v>
      </c>
      <c r="J304" s="375">
        <f>'BVC  MS'!J303+'BVC DSP'!J304</f>
        <v>90.43</v>
      </c>
      <c r="K304" s="375">
        <f>'BVC  MS'!K303+'BVC DSP'!K304</f>
        <v>90.04</v>
      </c>
      <c r="L304" s="21">
        <v>367.49</v>
      </c>
      <c r="M304" s="21">
        <f t="shared" si="43"/>
        <v>0</v>
      </c>
      <c r="N304" s="217"/>
      <c r="O304" s="217"/>
      <c r="P304" s="217"/>
      <c r="Q304" s="218"/>
      <c r="R304" s="218"/>
      <c r="S304" s="219"/>
      <c r="T304" s="221"/>
      <c r="U304" s="123"/>
      <c r="V304" s="123"/>
      <c r="W304" s="123"/>
    </row>
    <row r="305" spans="1:23" ht="12.75">
      <c r="A305" s="367">
        <f t="shared" si="42"/>
        <v>286</v>
      </c>
      <c r="B305" s="368"/>
      <c r="C305" s="368"/>
      <c r="D305" s="379" t="s">
        <v>157</v>
      </c>
      <c r="E305" s="66" t="s">
        <v>158</v>
      </c>
      <c r="F305" s="416"/>
      <c r="G305" s="79">
        <f t="shared" si="41"/>
        <v>0</v>
      </c>
      <c r="H305" s="375">
        <f>'BVC  MS'!H304+'BVC DSP'!H305</f>
        <v>0</v>
      </c>
      <c r="I305" s="375">
        <f>'BVC  MS'!I304+'BVC DSP'!I305</f>
        <v>0</v>
      </c>
      <c r="J305" s="375">
        <f>'BVC  MS'!J304+'BVC DSP'!J305</f>
        <v>0</v>
      </c>
      <c r="K305" s="375">
        <f>'BVC  MS'!K304+'BVC DSP'!K305</f>
        <v>0</v>
      </c>
      <c r="L305" s="21">
        <v>0</v>
      </c>
      <c r="M305" s="21">
        <f t="shared" si="43"/>
        <v>0</v>
      </c>
      <c r="N305" s="217"/>
      <c r="O305" s="217"/>
      <c r="P305" s="217"/>
      <c r="Q305" s="218"/>
      <c r="R305" s="218"/>
      <c r="S305" s="219"/>
      <c r="T305" s="221"/>
      <c r="U305" s="123"/>
      <c r="V305" s="123"/>
      <c r="W305" s="123"/>
    </row>
    <row r="306" spans="1:23" ht="12.75">
      <c r="A306" s="367">
        <f t="shared" si="42"/>
        <v>287</v>
      </c>
      <c r="B306" s="368"/>
      <c r="C306" s="368"/>
      <c r="D306" s="379" t="s">
        <v>65</v>
      </c>
      <c r="E306" s="66" t="s">
        <v>159</v>
      </c>
      <c r="F306" s="416"/>
      <c r="G306" s="79">
        <f t="shared" si="41"/>
        <v>0</v>
      </c>
      <c r="H306" s="375">
        <f>'BVC  MS'!H305+'BVC DSP'!H306</f>
        <v>0</v>
      </c>
      <c r="I306" s="375">
        <f>'BVC  MS'!I305+'BVC DSP'!I306</f>
        <v>0</v>
      </c>
      <c r="J306" s="375">
        <f>'BVC  MS'!J305+'BVC DSP'!J306</f>
        <v>0</v>
      </c>
      <c r="K306" s="375">
        <f>'BVC  MS'!K305+'BVC DSP'!K306</f>
        <v>0</v>
      </c>
      <c r="L306" s="21">
        <v>0</v>
      </c>
      <c r="M306" s="21">
        <f t="shared" si="43"/>
        <v>0</v>
      </c>
      <c r="N306" s="217"/>
      <c r="O306" s="217"/>
      <c r="P306" s="217"/>
      <c r="Q306" s="218"/>
      <c r="R306" s="218"/>
      <c r="S306" s="219"/>
      <c r="T306" s="221"/>
      <c r="U306" s="123"/>
      <c r="V306" s="123"/>
      <c r="W306" s="123"/>
    </row>
    <row r="307" spans="1:23" ht="12.75">
      <c r="A307" s="367">
        <f t="shared" si="42"/>
        <v>288</v>
      </c>
      <c r="B307" s="368"/>
      <c r="C307" s="368"/>
      <c r="D307" s="379" t="s">
        <v>160</v>
      </c>
      <c r="E307" s="66" t="s">
        <v>264</v>
      </c>
      <c r="F307" s="416"/>
      <c r="G307" s="79">
        <f t="shared" si="41"/>
        <v>0</v>
      </c>
      <c r="H307" s="375">
        <f>'BVC  MS'!H306+'BVC DSP'!H307</f>
        <v>0</v>
      </c>
      <c r="I307" s="375">
        <f>'BVC  MS'!I306+'BVC DSP'!I307</f>
        <v>0</v>
      </c>
      <c r="J307" s="375">
        <f>'BVC  MS'!J306+'BVC DSP'!J307</f>
        <v>0</v>
      </c>
      <c r="K307" s="375">
        <f>'BVC  MS'!K306+'BVC DSP'!K307</f>
        <v>0</v>
      </c>
      <c r="L307" s="21">
        <v>0</v>
      </c>
      <c r="M307" s="21">
        <f t="shared" si="43"/>
        <v>0</v>
      </c>
      <c r="N307" s="217"/>
      <c r="O307" s="217"/>
      <c r="P307" s="217"/>
      <c r="Q307" s="218"/>
      <c r="R307" s="218"/>
      <c r="S307" s="219"/>
      <c r="T307" s="221"/>
      <c r="U307" s="123"/>
      <c r="V307" s="123"/>
      <c r="W307" s="123"/>
    </row>
    <row r="308" spans="1:23" ht="12.75">
      <c r="A308" s="367">
        <f t="shared" si="42"/>
        <v>289</v>
      </c>
      <c r="B308" s="368"/>
      <c r="C308" s="368"/>
      <c r="D308" s="369">
        <v>10</v>
      </c>
      <c r="E308" s="66" t="s">
        <v>162</v>
      </c>
      <c r="F308" s="416"/>
      <c r="G308" s="79">
        <f t="shared" si="41"/>
        <v>0</v>
      </c>
      <c r="H308" s="375">
        <f>'BVC  MS'!H307+'BVC DSP'!H308</f>
        <v>0</v>
      </c>
      <c r="I308" s="375">
        <f>'BVC  MS'!I307+'BVC DSP'!I308</f>
        <v>0</v>
      </c>
      <c r="J308" s="375">
        <f>'BVC  MS'!J307+'BVC DSP'!J308</f>
        <v>0</v>
      </c>
      <c r="K308" s="375">
        <f>'BVC  MS'!K307+'BVC DSP'!K308</f>
        <v>0</v>
      </c>
      <c r="L308" s="21">
        <v>0</v>
      </c>
      <c r="M308" s="21">
        <f t="shared" si="43"/>
        <v>0</v>
      </c>
      <c r="N308" s="217"/>
      <c r="O308" s="217"/>
      <c r="P308" s="217"/>
      <c r="Q308" s="218"/>
      <c r="R308" s="218"/>
      <c r="S308" s="219"/>
      <c r="T308" s="130"/>
      <c r="U308" s="123"/>
      <c r="V308" s="123"/>
      <c r="W308" s="123"/>
    </row>
    <row r="309" spans="1:23" ht="12.75">
      <c r="A309" s="367">
        <f t="shared" si="42"/>
        <v>290</v>
      </c>
      <c r="B309" s="368"/>
      <c r="C309" s="368"/>
      <c r="D309" s="369">
        <v>11</v>
      </c>
      <c r="E309" s="66" t="s">
        <v>163</v>
      </c>
      <c r="F309" s="416"/>
      <c r="G309" s="79">
        <f t="shared" si="41"/>
        <v>491.19999999999993</v>
      </c>
      <c r="H309" s="375">
        <f>'BVC  MS'!H308+'BVC DSP'!H309</f>
        <v>109.29</v>
      </c>
      <c r="I309" s="375">
        <f>'BVC  MS'!I308+'BVC DSP'!I309</f>
        <v>115.54</v>
      </c>
      <c r="J309" s="375">
        <f>'BVC  MS'!J308+'BVC DSP'!J309</f>
        <v>138.20999999999998</v>
      </c>
      <c r="K309" s="375">
        <f>'BVC  MS'!K308+'BVC DSP'!K309</f>
        <v>128.16</v>
      </c>
      <c r="L309" s="21">
        <v>491.2</v>
      </c>
      <c r="M309" s="21">
        <f t="shared" si="43"/>
        <v>0</v>
      </c>
      <c r="N309" s="217"/>
      <c r="O309" s="217"/>
      <c r="P309" s="217"/>
      <c r="Q309" s="218"/>
      <c r="R309" s="218"/>
      <c r="S309" s="219"/>
      <c r="T309" s="130"/>
      <c r="U309" s="123"/>
      <c r="V309" s="123"/>
      <c r="W309" s="123"/>
    </row>
    <row r="310" spans="1:23" ht="12.75">
      <c r="A310" s="367">
        <f t="shared" si="42"/>
        <v>291</v>
      </c>
      <c r="B310" s="368"/>
      <c r="C310" s="368"/>
      <c r="D310" s="369">
        <v>12</v>
      </c>
      <c r="E310" s="66" t="s">
        <v>164</v>
      </c>
      <c r="F310" s="416"/>
      <c r="G310" s="79">
        <f t="shared" si="41"/>
        <v>0</v>
      </c>
      <c r="H310" s="375">
        <f>'BVC  MS'!H309+'BVC DSP'!H310</f>
        <v>0</v>
      </c>
      <c r="I310" s="375">
        <f>'BVC  MS'!I309+'BVC DSP'!I310</f>
        <v>0</v>
      </c>
      <c r="J310" s="375">
        <f>'BVC  MS'!J309+'BVC DSP'!J310</f>
        <v>0</v>
      </c>
      <c r="K310" s="375">
        <f>'BVC  MS'!K309+'BVC DSP'!K310</f>
        <v>0</v>
      </c>
      <c r="L310" s="21">
        <v>0</v>
      </c>
      <c r="M310" s="21">
        <f t="shared" si="43"/>
        <v>0</v>
      </c>
      <c r="N310" s="217"/>
      <c r="O310" s="217"/>
      <c r="P310" s="217"/>
      <c r="Q310" s="218"/>
      <c r="R310" s="218"/>
      <c r="S310" s="219"/>
      <c r="T310" s="130"/>
      <c r="U310" s="123"/>
      <c r="V310" s="123"/>
      <c r="W310" s="123"/>
    </row>
    <row r="311" spans="1:23" ht="12.75">
      <c r="A311" s="367">
        <f t="shared" si="42"/>
        <v>292</v>
      </c>
      <c r="B311" s="368"/>
      <c r="C311" s="368"/>
      <c r="D311" s="369">
        <v>13</v>
      </c>
      <c r="E311" s="66" t="s">
        <v>165</v>
      </c>
      <c r="F311" s="416"/>
      <c r="G311" s="79">
        <f t="shared" si="41"/>
        <v>0</v>
      </c>
      <c r="H311" s="375">
        <f>'BVC  MS'!H310+'BVC DSP'!H311</f>
        <v>0</v>
      </c>
      <c r="I311" s="375">
        <f>'BVC  MS'!I310+'BVC DSP'!I311</f>
        <v>0</v>
      </c>
      <c r="J311" s="375">
        <f>'BVC  MS'!J310+'BVC DSP'!J311</f>
        <v>0</v>
      </c>
      <c r="K311" s="375">
        <f>'BVC  MS'!K310+'BVC DSP'!K311</f>
        <v>0</v>
      </c>
      <c r="L311" s="21">
        <v>0</v>
      </c>
      <c r="M311" s="21">
        <f t="shared" si="43"/>
        <v>0</v>
      </c>
      <c r="N311" s="217"/>
      <c r="O311" s="217"/>
      <c r="P311" s="217"/>
      <c r="Q311" s="218"/>
      <c r="R311" s="218"/>
      <c r="S311" s="219"/>
      <c r="T311" s="130"/>
      <c r="U311" s="123"/>
      <c r="V311" s="123"/>
      <c r="W311" s="123"/>
    </row>
    <row r="312" spans="1:23" ht="12.75">
      <c r="A312" s="367">
        <f t="shared" si="42"/>
        <v>293</v>
      </c>
      <c r="B312" s="368"/>
      <c r="C312" s="368"/>
      <c r="D312" s="369">
        <v>14</v>
      </c>
      <c r="E312" s="66" t="s">
        <v>166</v>
      </c>
      <c r="F312" s="416"/>
      <c r="G312" s="79">
        <f t="shared" si="41"/>
        <v>0</v>
      </c>
      <c r="H312" s="375">
        <f>'BVC  MS'!H311+'BVC DSP'!H312</f>
        <v>0</v>
      </c>
      <c r="I312" s="375">
        <f>'BVC  MS'!I311+'BVC DSP'!I312</f>
        <v>0</v>
      </c>
      <c r="J312" s="375">
        <f>'BVC  MS'!J311+'BVC DSP'!J312</f>
        <v>0</v>
      </c>
      <c r="K312" s="375">
        <f>'BVC  MS'!K311+'BVC DSP'!K312</f>
        <v>0</v>
      </c>
      <c r="L312" s="21">
        <v>0</v>
      </c>
      <c r="M312" s="21">
        <f t="shared" si="43"/>
        <v>0</v>
      </c>
      <c r="N312" s="217"/>
      <c r="O312" s="217"/>
      <c r="P312" s="217"/>
      <c r="Q312" s="218"/>
      <c r="R312" s="218"/>
      <c r="S312" s="219"/>
      <c r="T312" s="130"/>
      <c r="U312" s="123"/>
      <c r="V312" s="123"/>
      <c r="W312" s="123"/>
    </row>
    <row r="313" spans="1:23" ht="12.75">
      <c r="A313" s="367">
        <f t="shared" si="42"/>
        <v>294</v>
      </c>
      <c r="B313" s="368"/>
      <c r="C313" s="368"/>
      <c r="D313" s="369">
        <v>15</v>
      </c>
      <c r="E313" s="66" t="s">
        <v>167</v>
      </c>
      <c r="F313" s="416"/>
      <c r="G313" s="79">
        <f t="shared" si="41"/>
        <v>0</v>
      </c>
      <c r="H313" s="375">
        <f>'BVC  MS'!H312+'BVC DSP'!H313</f>
        <v>0</v>
      </c>
      <c r="I313" s="375">
        <f>'BVC  MS'!I312+'BVC DSP'!I313</f>
        <v>0</v>
      </c>
      <c r="J313" s="375">
        <f>'BVC  MS'!J312+'BVC DSP'!J313</f>
        <v>0</v>
      </c>
      <c r="K313" s="375">
        <f>'BVC  MS'!K312+'BVC DSP'!K313</f>
        <v>0</v>
      </c>
      <c r="L313" s="21">
        <v>0</v>
      </c>
      <c r="M313" s="21">
        <f t="shared" si="43"/>
        <v>0</v>
      </c>
      <c r="N313" s="217"/>
      <c r="O313" s="217"/>
      <c r="P313" s="217"/>
      <c r="Q313" s="218"/>
      <c r="R313" s="218"/>
      <c r="S313" s="219"/>
      <c r="T313" s="130"/>
      <c r="U313" s="123"/>
      <c r="V313" s="123"/>
      <c r="W313" s="123"/>
    </row>
    <row r="314" spans="1:23" ht="12.75">
      <c r="A314" s="367">
        <f t="shared" si="42"/>
        <v>295</v>
      </c>
      <c r="B314" s="368"/>
      <c r="C314" s="368"/>
      <c r="D314" s="369">
        <v>16</v>
      </c>
      <c r="E314" s="66" t="s">
        <v>168</v>
      </c>
      <c r="F314" s="416"/>
      <c r="G314" s="79">
        <f t="shared" si="41"/>
        <v>0</v>
      </c>
      <c r="H314" s="375">
        <f>'BVC  MS'!H313+'BVC DSP'!H314</f>
        <v>0</v>
      </c>
      <c r="I314" s="375">
        <f>'BVC  MS'!I313+'BVC DSP'!I314</f>
        <v>0</v>
      </c>
      <c r="J314" s="375">
        <f>'BVC  MS'!J313+'BVC DSP'!J314</f>
        <v>0</v>
      </c>
      <c r="K314" s="375">
        <f>'BVC  MS'!K313+'BVC DSP'!K314</f>
        <v>0</v>
      </c>
      <c r="L314" s="21">
        <v>0</v>
      </c>
      <c r="M314" s="21">
        <f t="shared" si="43"/>
        <v>0</v>
      </c>
      <c r="N314" s="217"/>
      <c r="O314" s="217"/>
      <c r="P314" s="217"/>
      <c r="Q314" s="218"/>
      <c r="R314" s="218"/>
      <c r="S314" s="219"/>
      <c r="T314" s="130"/>
      <c r="U314" s="123"/>
      <c r="V314" s="123"/>
      <c r="W314" s="123"/>
    </row>
    <row r="315" spans="1:23" ht="12.75">
      <c r="A315" s="367">
        <f t="shared" si="42"/>
        <v>296</v>
      </c>
      <c r="B315" s="368"/>
      <c r="C315" s="368"/>
      <c r="D315" s="369">
        <v>30</v>
      </c>
      <c r="E315" s="66" t="s">
        <v>169</v>
      </c>
      <c r="F315" s="416"/>
      <c r="G315" s="79">
        <f t="shared" si="41"/>
        <v>0</v>
      </c>
      <c r="H315" s="375">
        <f>'BVC  MS'!H314+'BVC DSP'!H315</f>
        <v>0</v>
      </c>
      <c r="I315" s="375">
        <f>'BVC  MS'!I314+'BVC DSP'!I315</f>
        <v>0</v>
      </c>
      <c r="J315" s="375">
        <f>'BVC  MS'!J314+'BVC DSP'!J315</f>
        <v>0</v>
      </c>
      <c r="K315" s="375">
        <f>'BVC  MS'!K314+'BVC DSP'!K315</f>
        <v>0</v>
      </c>
      <c r="L315" s="21">
        <v>0</v>
      </c>
      <c r="M315" s="21">
        <f t="shared" si="43"/>
        <v>0</v>
      </c>
      <c r="N315" s="217"/>
      <c r="O315" s="217"/>
      <c r="P315" s="217"/>
      <c r="Q315" s="218"/>
      <c r="R315" s="218"/>
      <c r="S315" s="219"/>
      <c r="T315" s="130"/>
      <c r="U315" s="123"/>
      <c r="V315" s="123"/>
      <c r="W315" s="123"/>
    </row>
    <row r="316" spans="1:23" ht="12.75">
      <c r="A316" s="367">
        <f t="shared" si="42"/>
        <v>297</v>
      </c>
      <c r="B316" s="368"/>
      <c r="C316" s="377" t="s">
        <v>80</v>
      </c>
      <c r="D316" s="369"/>
      <c r="E316" s="85" t="s">
        <v>170</v>
      </c>
      <c r="F316" s="49">
        <f>+F317+F318+F319+F320+F321+F322</f>
        <v>0</v>
      </c>
      <c r="G316" s="50">
        <f t="shared" si="41"/>
        <v>1212.8</v>
      </c>
      <c r="H316" s="166">
        <f>+H317+H318+H319+H320+H321+H322</f>
        <v>149.66</v>
      </c>
      <c r="I316" s="166">
        <f>+I317+I318+I319+I320+I321+I322</f>
        <v>381.87</v>
      </c>
      <c r="J316" s="166">
        <f>+J317+J318+J319+J320+J321+J322</f>
        <v>386.12</v>
      </c>
      <c r="K316" s="166">
        <f>+K317+K318+K319+K320+K321+K322</f>
        <v>295.15</v>
      </c>
      <c r="L316" s="21"/>
      <c r="M316" s="21"/>
      <c r="N316" s="314"/>
      <c r="O316" s="217"/>
      <c r="P316" s="217"/>
      <c r="Q316" s="218"/>
      <c r="R316" s="218"/>
      <c r="S316" s="220"/>
      <c r="T316" s="130"/>
      <c r="U316" s="123"/>
      <c r="V316" s="123"/>
      <c r="W316" s="123"/>
    </row>
    <row r="317" spans="1:23" ht="12.75">
      <c r="A317" s="367">
        <f t="shared" si="42"/>
        <v>298</v>
      </c>
      <c r="B317" s="368"/>
      <c r="C317" s="368"/>
      <c r="D317" s="379" t="s">
        <v>47</v>
      </c>
      <c r="E317" s="66" t="s">
        <v>265</v>
      </c>
      <c r="F317" s="416"/>
      <c r="G317" s="79">
        <f t="shared" si="41"/>
        <v>1212.8</v>
      </c>
      <c r="H317" s="375">
        <f>'BVC  MS'!H316+'BVC DSP'!H317</f>
        <v>149.66</v>
      </c>
      <c r="I317" s="375">
        <f>'BVC  MS'!I316+'BVC DSP'!I317</f>
        <v>381.87</v>
      </c>
      <c r="J317" s="375">
        <f>'BVC  MS'!J316+'BVC DSP'!J317</f>
        <v>386.12</v>
      </c>
      <c r="K317" s="375">
        <f>'BVC  MS'!K316+'BVC DSP'!K317</f>
        <v>295.15</v>
      </c>
      <c r="L317" s="21">
        <v>1212.8</v>
      </c>
      <c r="M317" s="21">
        <f t="shared" si="43"/>
        <v>0</v>
      </c>
      <c r="N317" s="314"/>
      <c r="O317" s="217"/>
      <c r="P317" s="217"/>
      <c r="Q317" s="218"/>
      <c r="R317" s="218"/>
      <c r="S317" s="219"/>
      <c r="T317" s="221"/>
      <c r="U317" s="123"/>
      <c r="V317" s="123"/>
      <c r="W317" s="123"/>
    </row>
    <row r="318" spans="1:23" ht="12.75">
      <c r="A318" s="367">
        <f t="shared" si="42"/>
        <v>299</v>
      </c>
      <c r="B318" s="368"/>
      <c r="C318" s="368"/>
      <c r="D318" s="379" t="s">
        <v>80</v>
      </c>
      <c r="E318" s="66" t="s">
        <v>266</v>
      </c>
      <c r="F318" s="375"/>
      <c r="G318" s="79">
        <f t="shared" si="41"/>
        <v>0</v>
      </c>
      <c r="H318" s="375">
        <f>'BVC  MS'!H317+'BVC DSP'!H318</f>
        <v>0</v>
      </c>
      <c r="I318" s="375">
        <f>'BVC  MS'!I317+'BVC DSP'!I318</f>
        <v>0</v>
      </c>
      <c r="J318" s="375">
        <f>'BVC  MS'!J317+'BVC DSP'!J318</f>
        <v>0</v>
      </c>
      <c r="K318" s="375">
        <f>'BVC  MS'!K317+'BVC DSP'!K318</f>
        <v>0</v>
      </c>
      <c r="L318" s="21"/>
      <c r="M318" s="21">
        <f t="shared" si="43"/>
        <v>0</v>
      </c>
      <c r="N318" s="314"/>
      <c r="O318" s="217"/>
      <c r="P318" s="217"/>
      <c r="Q318" s="218"/>
      <c r="R318" s="218"/>
      <c r="S318" s="219"/>
      <c r="T318" s="221"/>
      <c r="U318" s="123"/>
      <c r="V318" s="123"/>
      <c r="W318" s="123"/>
    </row>
    <row r="319" spans="1:23" ht="12.75">
      <c r="A319" s="367">
        <f t="shared" si="42"/>
        <v>300</v>
      </c>
      <c r="B319" s="368"/>
      <c r="C319" s="368"/>
      <c r="D319" s="379" t="s">
        <v>84</v>
      </c>
      <c r="E319" s="66" t="s">
        <v>173</v>
      </c>
      <c r="F319" s="375"/>
      <c r="G319" s="79">
        <f t="shared" si="41"/>
        <v>0</v>
      </c>
      <c r="H319" s="375">
        <f>'BVC  MS'!H318+'BVC DSP'!H319</f>
        <v>0</v>
      </c>
      <c r="I319" s="375">
        <f>'BVC  MS'!I318+'BVC DSP'!I319</f>
        <v>0</v>
      </c>
      <c r="J319" s="375">
        <f>'BVC  MS'!J318+'BVC DSP'!J319</f>
        <v>0</v>
      </c>
      <c r="K319" s="375">
        <f>'BVC  MS'!K318+'BVC DSP'!K319</f>
        <v>0</v>
      </c>
      <c r="L319" s="21"/>
      <c r="M319" s="21">
        <f t="shared" si="43"/>
        <v>0</v>
      </c>
      <c r="N319" s="217"/>
      <c r="O319" s="217"/>
      <c r="P319" s="217"/>
      <c r="Q319" s="218"/>
      <c r="R319" s="218"/>
      <c r="S319" s="219"/>
      <c r="T319" s="221"/>
      <c r="U319" s="123"/>
      <c r="V319" s="123"/>
      <c r="W319" s="123"/>
    </row>
    <row r="320" spans="1:23" ht="12.75">
      <c r="A320" s="367">
        <f t="shared" si="42"/>
        <v>301</v>
      </c>
      <c r="B320" s="368"/>
      <c r="C320" s="368"/>
      <c r="D320" s="379" t="s">
        <v>108</v>
      </c>
      <c r="E320" s="66" t="s">
        <v>267</v>
      </c>
      <c r="F320" s="375"/>
      <c r="G320" s="79">
        <f t="shared" si="41"/>
        <v>0</v>
      </c>
      <c r="H320" s="375">
        <f>'BVC  MS'!H319+'BVC DSP'!H320</f>
        <v>0</v>
      </c>
      <c r="I320" s="375">
        <f>'BVC  MS'!I319+'BVC DSP'!I320</f>
        <v>0</v>
      </c>
      <c r="J320" s="375">
        <f>'BVC  MS'!J319+'BVC DSP'!J320</f>
        <v>0</v>
      </c>
      <c r="K320" s="375">
        <f>'BVC  MS'!K319+'BVC DSP'!K320</f>
        <v>0</v>
      </c>
      <c r="L320" s="21"/>
      <c r="M320" s="21">
        <f t="shared" si="43"/>
        <v>0</v>
      </c>
      <c r="N320" s="217"/>
      <c r="O320" s="217"/>
      <c r="P320" s="217"/>
      <c r="Q320" s="218"/>
      <c r="R320" s="218"/>
      <c r="S320" s="219"/>
      <c r="T320" s="221"/>
      <c r="U320" s="123"/>
      <c r="V320" s="123"/>
      <c r="W320" s="123"/>
    </row>
    <row r="321" spans="1:23" ht="12.75">
      <c r="A321" s="367">
        <f t="shared" si="42"/>
        <v>302</v>
      </c>
      <c r="B321" s="368"/>
      <c r="C321" s="368"/>
      <c r="D321" s="379" t="s">
        <v>41</v>
      </c>
      <c r="E321" s="66" t="s">
        <v>268</v>
      </c>
      <c r="F321" s="375"/>
      <c r="G321" s="79">
        <f t="shared" si="41"/>
        <v>0</v>
      </c>
      <c r="H321" s="375">
        <f>'BVC  MS'!H320+'BVC DSP'!H321</f>
        <v>0</v>
      </c>
      <c r="I321" s="375">
        <f>'BVC  MS'!I320+'BVC DSP'!I321</f>
        <v>0</v>
      </c>
      <c r="J321" s="375">
        <f>'BVC  MS'!J320+'BVC DSP'!J321</f>
        <v>0</v>
      </c>
      <c r="K321" s="375">
        <f>'BVC  MS'!K320+'BVC DSP'!K321</f>
        <v>0</v>
      </c>
      <c r="L321" s="21"/>
      <c r="M321" s="21">
        <f t="shared" si="43"/>
        <v>0</v>
      </c>
      <c r="N321" s="217"/>
      <c r="O321" s="217"/>
      <c r="P321" s="217"/>
      <c r="Q321" s="218"/>
      <c r="R321" s="218"/>
      <c r="S321" s="219"/>
      <c r="T321" s="221"/>
      <c r="U321" s="123"/>
      <c r="V321" s="123"/>
      <c r="W321" s="123"/>
    </row>
    <row r="322" spans="1:23" ht="12.75">
      <c r="A322" s="367">
        <f t="shared" si="42"/>
        <v>303</v>
      </c>
      <c r="B322" s="368"/>
      <c r="C322" s="368"/>
      <c r="D322" s="369">
        <v>30</v>
      </c>
      <c r="E322" s="66" t="s">
        <v>176</v>
      </c>
      <c r="F322" s="375"/>
      <c r="G322" s="79">
        <f t="shared" si="41"/>
        <v>0</v>
      </c>
      <c r="H322" s="375">
        <f>'BVC  MS'!H321+'BVC DSP'!H322</f>
        <v>0</v>
      </c>
      <c r="I322" s="375">
        <f>'BVC  MS'!I321+'BVC DSP'!I322</f>
        <v>0</v>
      </c>
      <c r="J322" s="375">
        <f>'BVC  MS'!J321+'BVC DSP'!J322</f>
        <v>0</v>
      </c>
      <c r="K322" s="375">
        <f>'BVC  MS'!K321+'BVC DSP'!K322</f>
        <v>0</v>
      </c>
      <c r="L322" s="21"/>
      <c r="M322" s="21">
        <f t="shared" si="43"/>
        <v>0</v>
      </c>
      <c r="N322" s="217"/>
      <c r="O322" s="217"/>
      <c r="P322" s="217"/>
      <c r="Q322" s="218"/>
      <c r="R322" s="218"/>
      <c r="S322" s="219"/>
      <c r="T322" s="130"/>
      <c r="U322" s="123"/>
      <c r="V322" s="123"/>
      <c r="W322" s="123"/>
    </row>
    <row r="323" spans="1:23" ht="12.75">
      <c r="A323" s="367">
        <f t="shared" si="42"/>
        <v>304</v>
      </c>
      <c r="B323" s="368"/>
      <c r="C323" s="377" t="s">
        <v>84</v>
      </c>
      <c r="D323" s="369"/>
      <c r="E323" s="85" t="s">
        <v>177</v>
      </c>
      <c r="F323" s="49">
        <f>+F324+F325+F326+F327+F328+F329+F330</f>
        <v>0</v>
      </c>
      <c r="G323" s="50">
        <f t="shared" si="41"/>
        <v>4668.790000000001</v>
      </c>
      <c r="H323" s="166">
        <f>+H324+H325+H326+H327+H328+H329+H330</f>
        <v>1104.71</v>
      </c>
      <c r="I323" s="166">
        <f>+I324+I325+I326+I327+I328+I329+I330</f>
        <v>1173.0600000000002</v>
      </c>
      <c r="J323" s="166">
        <f>+J324+J325+J326+J327+J328+J329+J330</f>
        <v>1245.5900000000001</v>
      </c>
      <c r="K323" s="166">
        <f>+K324+K325+K326+K327+K328+K329+K330</f>
        <v>1145.43</v>
      </c>
      <c r="L323" s="21"/>
      <c r="M323" s="21"/>
      <c r="N323" s="314"/>
      <c r="O323" s="217"/>
      <c r="P323" s="217"/>
      <c r="Q323" s="218"/>
      <c r="R323" s="218"/>
      <c r="S323" s="220"/>
      <c r="T323" s="130"/>
      <c r="U323" s="123"/>
      <c r="V323" s="123"/>
      <c r="W323" s="123"/>
    </row>
    <row r="324" spans="1:23" ht="12.75">
      <c r="A324" s="367">
        <f t="shared" si="42"/>
        <v>305</v>
      </c>
      <c r="B324" s="368"/>
      <c r="C324" s="368"/>
      <c r="D324" s="379" t="s">
        <v>47</v>
      </c>
      <c r="E324" s="66" t="s">
        <v>178</v>
      </c>
      <c r="F324" s="416"/>
      <c r="G324" s="79">
        <f t="shared" si="41"/>
        <v>3488.65</v>
      </c>
      <c r="H324" s="375">
        <f>'BVC  MS'!H323+'BVC DSP'!H324</f>
        <v>829.47</v>
      </c>
      <c r="I324" s="375">
        <f>'BVC  MS'!I323+'BVC DSP'!I324</f>
        <v>887.71</v>
      </c>
      <c r="J324" s="375">
        <f>'BVC  MS'!J323+'BVC DSP'!J324</f>
        <v>906.16</v>
      </c>
      <c r="K324" s="375">
        <f>'BVC  MS'!K323+'BVC DSP'!K324</f>
        <v>865.31</v>
      </c>
      <c r="L324" s="21">
        <v>3488.65</v>
      </c>
      <c r="M324" s="21">
        <f t="shared" si="43"/>
        <v>0</v>
      </c>
      <c r="N324" s="314"/>
      <c r="O324" s="217"/>
      <c r="P324" s="217"/>
      <c r="Q324" s="218"/>
      <c r="R324" s="218"/>
      <c r="S324" s="219"/>
      <c r="T324" s="221"/>
      <c r="U324" s="123"/>
      <c r="V324" s="123"/>
      <c r="W324" s="123"/>
    </row>
    <row r="325" spans="1:23" ht="12.75">
      <c r="A325" s="367">
        <f t="shared" si="42"/>
        <v>306</v>
      </c>
      <c r="B325" s="368"/>
      <c r="C325" s="368"/>
      <c r="D325" s="379" t="s">
        <v>80</v>
      </c>
      <c r="E325" s="66" t="s">
        <v>179</v>
      </c>
      <c r="F325" s="416"/>
      <c r="G325" s="79">
        <f t="shared" si="41"/>
        <v>81.95</v>
      </c>
      <c r="H325" s="375">
        <f>'BVC  MS'!H324+'BVC DSP'!H325</f>
        <v>19.52</v>
      </c>
      <c r="I325" s="375">
        <f>'BVC  MS'!I324+'BVC DSP'!I325</f>
        <v>20.86</v>
      </c>
      <c r="J325" s="375">
        <f>'BVC  MS'!J324+'BVC DSP'!J325</f>
        <v>21.2</v>
      </c>
      <c r="K325" s="375">
        <f>'BVC  MS'!K324+'BVC DSP'!K325</f>
        <v>20.37</v>
      </c>
      <c r="L325" s="21">
        <v>81.95</v>
      </c>
      <c r="M325" s="21">
        <f t="shared" si="43"/>
        <v>0</v>
      </c>
      <c r="N325" s="314"/>
      <c r="O325" s="217"/>
      <c r="P325" s="217"/>
      <c r="Q325" s="218"/>
      <c r="R325" s="218"/>
      <c r="S325" s="219"/>
      <c r="T325" s="221"/>
      <c r="U325" s="123"/>
      <c r="V325" s="123"/>
      <c r="W325" s="123"/>
    </row>
    <row r="326" spans="1:23" ht="12.75">
      <c r="A326" s="367">
        <f t="shared" si="42"/>
        <v>307</v>
      </c>
      <c r="B326" s="368"/>
      <c r="C326" s="368"/>
      <c r="D326" s="379" t="s">
        <v>84</v>
      </c>
      <c r="E326" s="66" t="s">
        <v>180</v>
      </c>
      <c r="F326" s="416"/>
      <c r="G326" s="79">
        <f t="shared" si="41"/>
        <v>854.0500000000001</v>
      </c>
      <c r="H326" s="375">
        <f>'BVC  MS'!H325+'BVC DSP'!H326</f>
        <v>203.66</v>
      </c>
      <c r="I326" s="375">
        <f>'BVC  MS'!I325+'BVC DSP'!I326</f>
        <v>217.29</v>
      </c>
      <c r="J326" s="375">
        <f>'BVC  MS'!J325+'BVC DSP'!J326</f>
        <v>220.75</v>
      </c>
      <c r="K326" s="375">
        <f>'BVC  MS'!K325+'BVC DSP'!K326</f>
        <v>212.35</v>
      </c>
      <c r="L326" s="21">
        <v>854.05</v>
      </c>
      <c r="M326" s="21">
        <f t="shared" si="43"/>
        <v>0</v>
      </c>
      <c r="N326" s="314"/>
      <c r="O326" s="217"/>
      <c r="P326" s="217"/>
      <c r="Q326" s="218"/>
      <c r="R326" s="218"/>
      <c r="S326" s="219"/>
      <c r="T326" s="221"/>
      <c r="U326" s="123"/>
      <c r="V326" s="123"/>
      <c r="W326" s="123"/>
    </row>
    <row r="327" spans="1:23" ht="12.75">
      <c r="A327" s="367">
        <f t="shared" si="42"/>
        <v>308</v>
      </c>
      <c r="B327" s="368"/>
      <c r="C327" s="368"/>
      <c r="D327" s="379" t="s">
        <v>108</v>
      </c>
      <c r="E327" s="66" t="s">
        <v>269</v>
      </c>
      <c r="F327" s="416"/>
      <c r="G327" s="79">
        <f t="shared" si="41"/>
        <v>45.99</v>
      </c>
      <c r="H327" s="375">
        <f>'BVC  MS'!H326+'BVC DSP'!H327</f>
        <v>10.94</v>
      </c>
      <c r="I327" s="375">
        <f>'BVC  MS'!I326+'BVC DSP'!I327</f>
        <v>11.69</v>
      </c>
      <c r="J327" s="375">
        <f>'BVC  MS'!J326+'BVC DSP'!J327</f>
        <v>12.93</v>
      </c>
      <c r="K327" s="375">
        <f>'BVC  MS'!K326+'BVC DSP'!K327</f>
        <v>10.43</v>
      </c>
      <c r="L327" s="21">
        <v>45.99</v>
      </c>
      <c r="M327" s="21">
        <f t="shared" si="43"/>
        <v>0</v>
      </c>
      <c r="N327" s="314"/>
      <c r="O327" s="217"/>
      <c r="P327" s="217"/>
      <c r="Q327" s="218"/>
      <c r="R327" s="218"/>
      <c r="S327" s="219"/>
      <c r="T327" s="221"/>
      <c r="U327" s="123"/>
      <c r="V327" s="123"/>
      <c r="W327" s="123"/>
    </row>
    <row r="328" spans="1:23" ht="12.75">
      <c r="A328" s="367">
        <f t="shared" si="42"/>
        <v>309</v>
      </c>
      <c r="B328" s="368"/>
      <c r="C328" s="368"/>
      <c r="D328" s="379" t="s">
        <v>41</v>
      </c>
      <c r="E328" s="66" t="s">
        <v>182</v>
      </c>
      <c r="F328" s="416"/>
      <c r="G328" s="79">
        <f t="shared" si="41"/>
        <v>0</v>
      </c>
      <c r="H328" s="375">
        <f>'BVC  MS'!H327+'BVC DSP'!H328</f>
        <v>0</v>
      </c>
      <c r="I328" s="375">
        <f>'BVC  MS'!I327+'BVC DSP'!I328</f>
        <v>0</v>
      </c>
      <c r="J328" s="375">
        <f>'BVC  MS'!J327+'BVC DSP'!J328</f>
        <v>0</v>
      </c>
      <c r="K328" s="375">
        <f>'BVC  MS'!K327+'BVC DSP'!K328</f>
        <v>0</v>
      </c>
      <c r="L328" s="21">
        <v>0</v>
      </c>
      <c r="M328" s="21">
        <f t="shared" si="43"/>
        <v>0</v>
      </c>
      <c r="N328" s="314"/>
      <c r="O328" s="217"/>
      <c r="P328" s="217"/>
      <c r="Q328" s="218"/>
      <c r="R328" s="218"/>
      <c r="S328" s="219"/>
      <c r="T328" s="221"/>
      <c r="U328" s="123"/>
      <c r="V328" s="123"/>
      <c r="W328" s="123"/>
    </row>
    <row r="329" spans="1:23" ht="12.75">
      <c r="A329" s="367">
        <f t="shared" si="42"/>
        <v>310</v>
      </c>
      <c r="B329" s="368"/>
      <c r="C329" s="368"/>
      <c r="D329" s="379" t="s">
        <v>154</v>
      </c>
      <c r="E329" s="66" t="s">
        <v>183</v>
      </c>
      <c r="F329" s="416"/>
      <c r="G329" s="79">
        <f t="shared" si="41"/>
        <v>198.15</v>
      </c>
      <c r="H329" s="375">
        <f>'BVC  MS'!H328+'BVC DSP'!H329</f>
        <v>41.120000000000005</v>
      </c>
      <c r="I329" s="375">
        <f>'BVC  MS'!I328+'BVC DSP'!I329</f>
        <v>35.51</v>
      </c>
      <c r="J329" s="375">
        <f>'BVC  MS'!J328+'BVC DSP'!J329</f>
        <v>84.55</v>
      </c>
      <c r="K329" s="375">
        <f>'BVC  MS'!K328+'BVC DSP'!K329</f>
        <v>36.97</v>
      </c>
      <c r="L329" s="21">
        <v>198.15</v>
      </c>
      <c r="M329" s="21">
        <f t="shared" si="43"/>
        <v>0</v>
      </c>
      <c r="N329" s="314"/>
      <c r="O329" s="217"/>
      <c r="P329" s="217"/>
      <c r="Q329" s="218"/>
      <c r="R329" s="218"/>
      <c r="S329" s="219"/>
      <c r="T329" s="221"/>
      <c r="U329" s="123"/>
      <c r="V329" s="123"/>
      <c r="W329" s="123"/>
    </row>
    <row r="330" spans="1:23" ht="12.75">
      <c r="A330" s="367">
        <f t="shared" si="42"/>
        <v>311</v>
      </c>
      <c r="B330" s="368"/>
      <c r="C330" s="368"/>
      <c r="D330" s="379" t="s">
        <v>157</v>
      </c>
      <c r="E330" s="66" t="s">
        <v>184</v>
      </c>
      <c r="F330" s="416"/>
      <c r="G330" s="79">
        <f t="shared" si="41"/>
        <v>0</v>
      </c>
      <c r="H330" s="375">
        <f>'BVC  MS'!H329+'BVC DSP'!H330</f>
        <v>0</v>
      </c>
      <c r="I330" s="375">
        <f>'BVC  MS'!I329+'BVC DSP'!I330</f>
        <v>0</v>
      </c>
      <c r="J330" s="375">
        <f>'BVC  MS'!J329+'BVC DSP'!J330</f>
        <v>0</v>
      </c>
      <c r="K330" s="375">
        <f>'BVC  MS'!K329+'BVC DSP'!K330</f>
        <v>0</v>
      </c>
      <c r="L330" s="21">
        <v>0</v>
      </c>
      <c r="M330" s="21">
        <f t="shared" si="43"/>
        <v>0</v>
      </c>
      <c r="N330" s="314"/>
      <c r="O330" s="217"/>
      <c r="P330" s="217"/>
      <c r="Q330" s="218"/>
      <c r="R330" s="218"/>
      <c r="S330" s="219"/>
      <c r="T330" s="221"/>
      <c r="U330" s="123"/>
      <c r="V330" s="123"/>
      <c r="W330" s="123"/>
    </row>
    <row r="331" spans="1:23" ht="12.75">
      <c r="A331" s="367">
        <f t="shared" si="42"/>
        <v>312</v>
      </c>
      <c r="B331" s="368">
        <v>20</v>
      </c>
      <c r="C331" s="368"/>
      <c r="D331" s="86"/>
      <c r="E331" s="85" t="s">
        <v>287</v>
      </c>
      <c r="F331" s="49">
        <f>+F332+F343+F344+F347+F352+F356+F359+F360+F361+F362+F363+F364+F365+F367</f>
        <v>0</v>
      </c>
      <c r="G331" s="50">
        <f t="shared" si="41"/>
        <v>4455.000000000001</v>
      </c>
      <c r="H331" s="166">
        <f>+H332+H343+H344+H347+H352+H356+H359+H360+H361+H362+H363+H364+H365+H367</f>
        <v>1069.24</v>
      </c>
      <c r="I331" s="166">
        <f>+I332+I343+I344+I347+I352+I356+I359+I360+I361+I362+I363+I364+I365+I367</f>
        <v>1135.15</v>
      </c>
      <c r="J331" s="166">
        <f>+J332+J343+J344+J347+J352+J356+J359+J360+J361+J362+J363+J364+J365+J367</f>
        <v>1178.01</v>
      </c>
      <c r="K331" s="166">
        <f>+K332+K343+K344+K347+K352+K356+K359+K360+K361+K362+K363+K364+K365+K367</f>
        <v>1072.6000000000001</v>
      </c>
      <c r="L331" s="21"/>
      <c r="M331" s="21"/>
      <c r="N331" s="314"/>
      <c r="O331" s="217"/>
      <c r="P331" s="217"/>
      <c r="Q331" s="218"/>
      <c r="R331" s="218"/>
      <c r="S331" s="219"/>
      <c r="T331" s="99"/>
      <c r="U331" s="123"/>
      <c r="V331" s="123"/>
      <c r="W331" s="123"/>
    </row>
    <row r="332" spans="1:23" ht="12.75">
      <c r="A332" s="367">
        <f t="shared" si="42"/>
        <v>313</v>
      </c>
      <c r="B332" s="368"/>
      <c r="C332" s="377" t="s">
        <v>47</v>
      </c>
      <c r="D332" s="369"/>
      <c r="E332" s="85" t="s">
        <v>130</v>
      </c>
      <c r="F332" s="49">
        <f>+F333+F334+F335+F336+F337+F338+F339+F340+F341+F342</f>
        <v>0</v>
      </c>
      <c r="G332" s="50">
        <f t="shared" si="41"/>
        <v>2171.8500000000004</v>
      </c>
      <c r="H332" s="166">
        <f>+H333+H334+H335+H336+H337+H338+H339+H340+H341+H342</f>
        <v>585.64</v>
      </c>
      <c r="I332" s="166">
        <f>+I333+I334+I335+I336+I337+I338+I339+I340+I341+I342</f>
        <v>549.89</v>
      </c>
      <c r="J332" s="166">
        <f>+J333+J334+J335+J336+J337+J338+J339+J340+J341+J342</f>
        <v>710.33</v>
      </c>
      <c r="K332" s="166">
        <f>+K333+K334+K335+K336+K337+K338+K339+K340+K341+K342</f>
        <v>325.99</v>
      </c>
      <c r="L332" s="21"/>
      <c r="M332" s="21"/>
      <c r="N332" s="314"/>
      <c r="O332" s="217"/>
      <c r="P332" s="217"/>
      <c r="Q332" s="218"/>
      <c r="R332" s="218"/>
      <c r="S332" s="220"/>
      <c r="T332" s="130"/>
      <c r="U332" s="123"/>
      <c r="V332" s="123"/>
      <c r="W332" s="123"/>
    </row>
    <row r="333" spans="1:23" ht="12.75">
      <c r="A333" s="367">
        <f t="shared" si="42"/>
        <v>314</v>
      </c>
      <c r="B333" s="368"/>
      <c r="C333" s="368"/>
      <c r="D333" s="379" t="s">
        <v>47</v>
      </c>
      <c r="E333" s="66" t="s">
        <v>186</v>
      </c>
      <c r="F333" s="416"/>
      <c r="G333" s="79">
        <f t="shared" si="41"/>
        <v>35.91</v>
      </c>
      <c r="H333" s="375">
        <f>'BVC  MS'!H332+'BVC DSP'!H333</f>
        <v>7.84</v>
      </c>
      <c r="I333" s="375">
        <f>'BVC  MS'!I332+'BVC DSP'!I333</f>
        <v>1.83</v>
      </c>
      <c r="J333" s="375">
        <f>'BVC  MS'!J332+'BVC DSP'!J333</f>
        <v>18.91</v>
      </c>
      <c r="K333" s="375">
        <f>'BVC  MS'!K332+'BVC DSP'!K333</f>
        <v>7.33</v>
      </c>
      <c r="L333" s="21">
        <v>35.91</v>
      </c>
      <c r="M333" s="21">
        <f t="shared" si="43"/>
        <v>0</v>
      </c>
      <c r="N333" s="217"/>
      <c r="O333" s="217"/>
      <c r="P333" s="217"/>
      <c r="Q333" s="218"/>
      <c r="R333" s="218"/>
      <c r="S333" s="219"/>
      <c r="T333" s="221"/>
      <c r="U333" s="123"/>
      <c r="V333" s="123"/>
      <c r="W333" s="123"/>
    </row>
    <row r="334" spans="1:23" ht="12.75">
      <c r="A334" s="367">
        <f t="shared" si="42"/>
        <v>315</v>
      </c>
      <c r="B334" s="368"/>
      <c r="C334" s="368"/>
      <c r="D334" s="379" t="s">
        <v>80</v>
      </c>
      <c r="E334" s="66" t="s">
        <v>187</v>
      </c>
      <c r="F334" s="416"/>
      <c r="G334" s="79">
        <f t="shared" si="41"/>
        <v>146.75</v>
      </c>
      <c r="H334" s="375">
        <f>'BVC  MS'!H333+'BVC DSP'!H334</f>
        <v>34.52</v>
      </c>
      <c r="I334" s="375">
        <f>'BVC  MS'!I333+'BVC DSP'!I334</f>
        <v>33.79</v>
      </c>
      <c r="J334" s="375">
        <f>'BVC  MS'!J333+'BVC DSP'!J334</f>
        <v>44.68</v>
      </c>
      <c r="K334" s="375">
        <f>'BVC  MS'!K333+'BVC DSP'!K334</f>
        <v>33.76</v>
      </c>
      <c r="L334" s="21">
        <v>146.75</v>
      </c>
      <c r="M334" s="21">
        <f t="shared" si="43"/>
        <v>0</v>
      </c>
      <c r="N334" s="314"/>
      <c r="O334" s="217"/>
      <c r="P334" s="217"/>
      <c r="Q334" s="218"/>
      <c r="R334" s="218"/>
      <c r="S334" s="219"/>
      <c r="T334" s="221"/>
      <c r="U334" s="123"/>
      <c r="V334" s="123"/>
      <c r="W334" s="123"/>
    </row>
    <row r="335" spans="1:23" ht="12.75">
      <c r="A335" s="367">
        <f t="shared" si="42"/>
        <v>316</v>
      </c>
      <c r="B335" s="368"/>
      <c r="C335" s="368"/>
      <c r="D335" s="379" t="s">
        <v>84</v>
      </c>
      <c r="E335" s="66" t="s">
        <v>188</v>
      </c>
      <c r="F335" s="416"/>
      <c r="G335" s="79">
        <f t="shared" si="41"/>
        <v>0.29</v>
      </c>
      <c r="H335" s="375">
        <f>'BVC  MS'!H334+'BVC DSP'!H335</f>
        <v>0</v>
      </c>
      <c r="I335" s="375">
        <f>'BVC  MS'!I334+'BVC DSP'!I335</f>
        <v>0</v>
      </c>
      <c r="J335" s="375">
        <f>'BVC  MS'!J334+'BVC DSP'!J335</f>
        <v>0</v>
      </c>
      <c r="K335" s="375">
        <f>'BVC  MS'!K334+'BVC DSP'!K335</f>
        <v>0.29</v>
      </c>
      <c r="L335" s="21">
        <v>0.29</v>
      </c>
      <c r="M335" s="21">
        <f t="shared" si="43"/>
        <v>0</v>
      </c>
      <c r="N335" s="314"/>
      <c r="O335" s="217"/>
      <c r="P335" s="217"/>
      <c r="Q335" s="218"/>
      <c r="R335" s="218"/>
      <c r="S335" s="219"/>
      <c r="T335" s="221"/>
      <c r="U335" s="123"/>
      <c r="V335" s="123"/>
      <c r="W335" s="123"/>
    </row>
    <row r="336" spans="1:23" ht="12.75">
      <c r="A336" s="367">
        <f t="shared" si="42"/>
        <v>317</v>
      </c>
      <c r="B336" s="368"/>
      <c r="C336" s="368"/>
      <c r="D336" s="379" t="s">
        <v>108</v>
      </c>
      <c r="E336" s="66" t="s">
        <v>189</v>
      </c>
      <c r="F336" s="416"/>
      <c r="G336" s="79">
        <f t="shared" si="41"/>
        <v>0</v>
      </c>
      <c r="H336" s="375">
        <f>'BVC  MS'!H335+'BVC DSP'!H336</f>
        <v>0</v>
      </c>
      <c r="I336" s="375">
        <f>'BVC  MS'!I335+'BVC DSP'!I336</f>
        <v>0</v>
      </c>
      <c r="J336" s="375">
        <f>'BVC  MS'!J335+'BVC DSP'!J336</f>
        <v>0</v>
      </c>
      <c r="K336" s="375">
        <f>'BVC  MS'!K335+'BVC DSP'!K336</f>
        <v>0</v>
      </c>
      <c r="L336" s="21">
        <v>0</v>
      </c>
      <c r="M336" s="21">
        <f t="shared" si="43"/>
        <v>0</v>
      </c>
      <c r="N336" s="314"/>
      <c r="O336" s="217"/>
      <c r="P336" s="217"/>
      <c r="Q336" s="218"/>
      <c r="R336" s="218"/>
      <c r="S336" s="219"/>
      <c r="T336" s="221"/>
      <c r="U336" s="123"/>
      <c r="V336" s="123"/>
      <c r="W336" s="123"/>
    </row>
    <row r="337" spans="1:23" ht="12.75">
      <c r="A337" s="367">
        <f t="shared" si="42"/>
        <v>318</v>
      </c>
      <c r="B337" s="368"/>
      <c r="C337" s="368"/>
      <c r="D337" s="379" t="s">
        <v>41</v>
      </c>
      <c r="E337" s="66" t="s">
        <v>190</v>
      </c>
      <c r="F337" s="416"/>
      <c r="G337" s="79">
        <f t="shared" si="41"/>
        <v>0</v>
      </c>
      <c r="H337" s="375">
        <f>'BVC  MS'!H336+'BVC DSP'!H337</f>
        <v>0</v>
      </c>
      <c r="I337" s="375">
        <f>'BVC  MS'!I336+'BVC DSP'!I337</f>
        <v>0</v>
      </c>
      <c r="J337" s="375">
        <f>'BVC  MS'!J336+'BVC DSP'!J337</f>
        <v>0</v>
      </c>
      <c r="K337" s="375">
        <f>'BVC  MS'!K336+'BVC DSP'!K337</f>
        <v>0</v>
      </c>
      <c r="L337" s="21">
        <v>0</v>
      </c>
      <c r="M337" s="21">
        <f t="shared" si="43"/>
        <v>0</v>
      </c>
      <c r="N337" s="314"/>
      <c r="O337" s="217"/>
      <c r="P337" s="217"/>
      <c r="Q337" s="218"/>
      <c r="R337" s="218"/>
      <c r="S337" s="219"/>
      <c r="T337" s="221"/>
      <c r="U337" s="123"/>
      <c r="V337" s="123"/>
      <c r="W337" s="123"/>
    </row>
    <row r="338" spans="1:23" ht="12.75">
      <c r="A338" s="367">
        <f t="shared" si="42"/>
        <v>319</v>
      </c>
      <c r="B338" s="368"/>
      <c r="C338" s="368"/>
      <c r="D338" s="379" t="s">
        <v>154</v>
      </c>
      <c r="E338" s="66" t="s">
        <v>191</v>
      </c>
      <c r="F338" s="416"/>
      <c r="G338" s="79">
        <f t="shared" si="41"/>
        <v>178.87</v>
      </c>
      <c r="H338" s="375">
        <f>'BVC  MS'!H337+'BVC DSP'!H338</f>
        <v>21.39</v>
      </c>
      <c r="I338" s="375">
        <f>'BVC  MS'!I337+'BVC DSP'!I338</f>
        <v>21.49</v>
      </c>
      <c r="J338" s="375">
        <f>'BVC  MS'!J337+'BVC DSP'!J338</f>
        <v>26.05</v>
      </c>
      <c r="K338" s="375">
        <f>'BVC  MS'!K337+'BVC DSP'!K338</f>
        <v>109.94</v>
      </c>
      <c r="L338" s="21">
        <v>178.45</v>
      </c>
      <c r="M338" s="21">
        <f t="shared" si="43"/>
        <v>0.4200000000000159</v>
      </c>
      <c r="N338" s="314"/>
      <c r="O338" s="217"/>
      <c r="P338" s="217"/>
      <c r="Q338" s="218"/>
      <c r="R338" s="218"/>
      <c r="S338" s="219"/>
      <c r="T338" s="221"/>
      <c r="U338" s="123"/>
      <c r="V338" s="123"/>
      <c r="W338" s="123"/>
    </row>
    <row r="339" spans="1:23" ht="12.75">
      <c r="A339" s="367">
        <f t="shared" si="42"/>
        <v>320</v>
      </c>
      <c r="B339" s="368"/>
      <c r="C339" s="368"/>
      <c r="D339" s="379" t="s">
        <v>157</v>
      </c>
      <c r="E339" s="66" t="s">
        <v>192</v>
      </c>
      <c r="F339" s="416"/>
      <c r="G339" s="79">
        <f t="shared" si="41"/>
        <v>0</v>
      </c>
      <c r="H339" s="375">
        <f>'BVC  MS'!H338+'BVC DSP'!H339</f>
        <v>0</v>
      </c>
      <c r="I339" s="375">
        <f>'BVC  MS'!I338+'BVC DSP'!I339</f>
        <v>0</v>
      </c>
      <c r="J339" s="375">
        <f>'BVC  MS'!J338+'BVC DSP'!J339</f>
        <v>0</v>
      </c>
      <c r="K339" s="375">
        <f>'BVC  MS'!K338+'BVC DSP'!K339</f>
        <v>0</v>
      </c>
      <c r="L339" s="21">
        <v>0</v>
      </c>
      <c r="M339" s="21">
        <f t="shared" si="43"/>
        <v>0</v>
      </c>
      <c r="N339" s="314"/>
      <c r="O339" s="217"/>
      <c r="P339" s="217"/>
      <c r="Q339" s="218"/>
      <c r="R339" s="218"/>
      <c r="S339" s="219"/>
      <c r="T339" s="221"/>
      <c r="U339" s="123"/>
      <c r="V339" s="123"/>
      <c r="W339" s="123"/>
    </row>
    <row r="340" spans="1:23" ht="12.75">
      <c r="A340" s="367">
        <f t="shared" si="42"/>
        <v>321</v>
      </c>
      <c r="B340" s="368"/>
      <c r="C340" s="368"/>
      <c r="D340" s="379" t="s">
        <v>65</v>
      </c>
      <c r="E340" s="66" t="s">
        <v>193</v>
      </c>
      <c r="F340" s="416"/>
      <c r="G340" s="79">
        <f t="shared" si="41"/>
        <v>0</v>
      </c>
      <c r="H340" s="375">
        <f>'BVC  MS'!H339+'BVC DSP'!H340</f>
        <v>0</v>
      </c>
      <c r="I340" s="375">
        <f>'BVC  MS'!I339+'BVC DSP'!I340</f>
        <v>0</v>
      </c>
      <c r="J340" s="375">
        <f>'BVC  MS'!J339+'BVC DSP'!J340</f>
        <v>0</v>
      </c>
      <c r="K340" s="375">
        <f>'BVC  MS'!K339+'BVC DSP'!K340</f>
        <v>0</v>
      </c>
      <c r="L340" s="21">
        <v>0</v>
      </c>
      <c r="M340" s="21">
        <f t="shared" si="43"/>
        <v>0</v>
      </c>
      <c r="N340" s="314"/>
      <c r="O340" s="217"/>
      <c r="P340" s="217"/>
      <c r="Q340" s="218"/>
      <c r="R340" s="218"/>
      <c r="S340" s="219"/>
      <c r="T340" s="221"/>
      <c r="U340" s="123"/>
      <c r="V340" s="123"/>
      <c r="W340" s="123"/>
    </row>
    <row r="341" spans="1:23" ht="12.75">
      <c r="A341" s="367">
        <f t="shared" si="42"/>
        <v>322</v>
      </c>
      <c r="B341" s="368"/>
      <c r="C341" s="368"/>
      <c r="D341" s="379" t="s">
        <v>160</v>
      </c>
      <c r="E341" s="66" t="s">
        <v>194</v>
      </c>
      <c r="F341" s="416"/>
      <c r="G341" s="79">
        <f t="shared" si="41"/>
        <v>25.840000000000003</v>
      </c>
      <c r="H341" s="375">
        <f>'BVC  MS'!H340+'BVC DSP'!H341</f>
        <v>4.46</v>
      </c>
      <c r="I341" s="375">
        <f>'BVC  MS'!I340+'BVC DSP'!I341</f>
        <v>6.5</v>
      </c>
      <c r="J341" s="375">
        <f>'BVC  MS'!J340+'BVC DSP'!J341</f>
        <v>1</v>
      </c>
      <c r="K341" s="375">
        <f>'BVC  MS'!K340+'BVC DSP'!K341</f>
        <v>13.88</v>
      </c>
      <c r="L341" s="21">
        <v>25.84</v>
      </c>
      <c r="M341" s="21">
        <f t="shared" si="43"/>
        <v>0</v>
      </c>
      <c r="N341" s="314"/>
      <c r="O341" s="217"/>
      <c r="P341" s="217"/>
      <c r="Q341" s="218"/>
      <c r="R341" s="218"/>
      <c r="S341" s="219"/>
      <c r="T341" s="221"/>
      <c r="U341" s="123"/>
      <c r="V341" s="123"/>
      <c r="W341" s="123"/>
    </row>
    <row r="342" spans="1:23" ht="12.75">
      <c r="A342" s="367">
        <f t="shared" si="42"/>
        <v>323</v>
      </c>
      <c r="B342" s="368"/>
      <c r="C342" s="368"/>
      <c r="D342" s="369">
        <v>30</v>
      </c>
      <c r="E342" s="66" t="s">
        <v>271</v>
      </c>
      <c r="F342" s="416"/>
      <c r="G342" s="79">
        <f t="shared" si="41"/>
        <v>1784.19</v>
      </c>
      <c r="H342" s="375">
        <f>'BVC  MS'!H341+'BVC DSP'!H342</f>
        <v>517.43</v>
      </c>
      <c r="I342" s="375">
        <f>'BVC  MS'!I341+'BVC DSP'!I342</f>
        <v>486.28</v>
      </c>
      <c r="J342" s="375">
        <f>'BVC  MS'!J341+'BVC DSP'!J342</f>
        <v>619.69</v>
      </c>
      <c r="K342" s="375">
        <f>'BVC  MS'!K341+'BVC DSP'!K342</f>
        <v>160.79</v>
      </c>
      <c r="L342" s="21">
        <v>1784.19</v>
      </c>
      <c r="M342" s="21">
        <f t="shared" si="43"/>
        <v>0</v>
      </c>
      <c r="N342" s="314"/>
      <c r="O342" s="217"/>
      <c r="P342" s="217"/>
      <c r="Q342" s="218"/>
      <c r="R342" s="218"/>
      <c r="S342" s="219"/>
      <c r="T342" s="130"/>
      <c r="U342" s="123"/>
      <c r="V342" s="123"/>
      <c r="W342" s="123"/>
    </row>
    <row r="343" spans="1:23" ht="12.75">
      <c r="A343" s="367">
        <f t="shared" si="42"/>
        <v>324</v>
      </c>
      <c r="B343" s="368"/>
      <c r="C343" s="377" t="s">
        <v>80</v>
      </c>
      <c r="D343" s="86"/>
      <c r="E343" s="59" t="s">
        <v>196</v>
      </c>
      <c r="F343" s="416"/>
      <c r="G343" s="79">
        <f t="shared" si="41"/>
        <v>2.68</v>
      </c>
      <c r="H343" s="375">
        <f>'BVC  MS'!H342+'BVC DSP'!H343</f>
        <v>0</v>
      </c>
      <c r="I343" s="375">
        <f>'BVC  MS'!I342+'BVC DSP'!I343</f>
        <v>0</v>
      </c>
      <c r="J343" s="375">
        <f>'BVC  MS'!J342+'BVC DSP'!J343</f>
        <v>2.5</v>
      </c>
      <c r="K343" s="375">
        <f>'BVC  MS'!K342+'BVC DSP'!K343</f>
        <v>0.18</v>
      </c>
      <c r="L343" s="21">
        <v>2.68</v>
      </c>
      <c r="M343" s="21">
        <f t="shared" si="43"/>
        <v>0</v>
      </c>
      <c r="N343" s="217"/>
      <c r="O343" s="217"/>
      <c r="P343" s="217"/>
      <c r="Q343" s="218"/>
      <c r="R343" s="218"/>
      <c r="S343" s="220"/>
      <c r="T343" s="99"/>
      <c r="U343" s="123"/>
      <c r="V343" s="123"/>
      <c r="W343" s="123"/>
    </row>
    <row r="344" spans="1:23" ht="12.75">
      <c r="A344" s="367">
        <f t="shared" si="42"/>
        <v>325</v>
      </c>
      <c r="B344" s="368"/>
      <c r="C344" s="377" t="s">
        <v>84</v>
      </c>
      <c r="D344" s="86"/>
      <c r="E344" s="59" t="s">
        <v>197</v>
      </c>
      <c r="F344" s="49">
        <f>+F345+F346</f>
        <v>0</v>
      </c>
      <c r="G344" s="50">
        <f t="shared" si="41"/>
        <v>0</v>
      </c>
      <c r="H344" s="166">
        <f>+H345+H346</f>
        <v>0</v>
      </c>
      <c r="I344" s="166">
        <f>+I345+I346</f>
        <v>0</v>
      </c>
      <c r="J344" s="166">
        <f>+J345+J346</f>
        <v>0</v>
      </c>
      <c r="K344" s="166">
        <f>+K345+K346</f>
        <v>0</v>
      </c>
      <c r="L344" s="21"/>
      <c r="M344" s="21">
        <f t="shared" si="43"/>
        <v>0</v>
      </c>
      <c r="N344" s="217"/>
      <c r="O344" s="217"/>
      <c r="P344" s="217"/>
      <c r="Q344" s="218"/>
      <c r="R344" s="218"/>
      <c r="S344" s="220"/>
      <c r="T344" s="99"/>
      <c r="U344" s="123"/>
      <c r="V344" s="123"/>
      <c r="W344" s="123"/>
    </row>
    <row r="345" spans="1:23" ht="12.75">
      <c r="A345" s="367">
        <f t="shared" si="42"/>
        <v>326</v>
      </c>
      <c r="B345" s="368"/>
      <c r="C345" s="368"/>
      <c r="D345" s="379" t="s">
        <v>47</v>
      </c>
      <c r="E345" s="66" t="s">
        <v>198</v>
      </c>
      <c r="F345" s="416"/>
      <c r="G345" s="79">
        <f t="shared" si="41"/>
        <v>0</v>
      </c>
      <c r="H345" s="375">
        <f>'BVC  MS'!H344+'BVC DSP'!H345</f>
        <v>0</v>
      </c>
      <c r="I345" s="375">
        <f>'BVC  MS'!I344+'BVC DSP'!I345</f>
        <v>0</v>
      </c>
      <c r="J345" s="375">
        <f>'BVC  MS'!J344+'BVC DSP'!J345</f>
        <v>0</v>
      </c>
      <c r="K345" s="375">
        <f>'BVC  MS'!K344+'BVC DSP'!K345</f>
        <v>0</v>
      </c>
      <c r="L345" s="21">
        <v>0</v>
      </c>
      <c r="M345" s="21">
        <f t="shared" si="43"/>
        <v>0</v>
      </c>
      <c r="N345" s="217"/>
      <c r="O345" s="217"/>
      <c r="P345" s="217"/>
      <c r="Q345" s="218"/>
      <c r="R345" s="218"/>
      <c r="S345" s="219"/>
      <c r="T345" s="221"/>
      <c r="U345" s="123"/>
      <c r="V345" s="123"/>
      <c r="W345" s="123"/>
    </row>
    <row r="346" spans="1:23" ht="12.75">
      <c r="A346" s="367">
        <f t="shared" si="42"/>
        <v>327</v>
      </c>
      <c r="B346" s="368"/>
      <c r="C346" s="368"/>
      <c r="D346" s="379" t="s">
        <v>80</v>
      </c>
      <c r="E346" s="66" t="s">
        <v>199</v>
      </c>
      <c r="F346" s="375"/>
      <c r="G346" s="79">
        <f t="shared" si="41"/>
        <v>0</v>
      </c>
      <c r="H346" s="375">
        <f>'BVC  MS'!H345+'BVC DSP'!H346</f>
        <v>0</v>
      </c>
      <c r="I346" s="375">
        <f>'BVC  MS'!I345+'BVC DSP'!I346</f>
        <v>0</v>
      </c>
      <c r="J346" s="375">
        <f>'BVC  MS'!J345+'BVC DSP'!J346</f>
        <v>0</v>
      </c>
      <c r="K346" s="375">
        <f>'BVC  MS'!K345+'BVC DSP'!K346</f>
        <v>0</v>
      </c>
      <c r="L346" s="21">
        <v>0</v>
      </c>
      <c r="M346" s="21">
        <f t="shared" si="43"/>
        <v>0</v>
      </c>
      <c r="N346" s="217"/>
      <c r="O346" s="217"/>
      <c r="P346" s="217"/>
      <c r="Q346" s="218"/>
      <c r="R346" s="218"/>
      <c r="S346" s="219"/>
      <c r="T346" s="221"/>
      <c r="U346" s="123"/>
      <c r="V346" s="123"/>
      <c r="W346" s="123"/>
    </row>
    <row r="347" spans="1:23" ht="12.75">
      <c r="A347" s="367">
        <f t="shared" si="42"/>
        <v>328</v>
      </c>
      <c r="B347" s="368"/>
      <c r="C347" s="377" t="s">
        <v>108</v>
      </c>
      <c r="D347" s="369"/>
      <c r="E347" s="59" t="s">
        <v>200</v>
      </c>
      <c r="F347" s="49">
        <f>+F348+F349+F350+F351</f>
        <v>0</v>
      </c>
      <c r="G347" s="50">
        <f t="shared" si="41"/>
        <v>2273.86</v>
      </c>
      <c r="H347" s="166">
        <f>+H348+H349+H350+H351</f>
        <v>483.6</v>
      </c>
      <c r="I347" s="166">
        <f>+I348+I349+I350+I351</f>
        <v>584.26</v>
      </c>
      <c r="J347" s="166">
        <f>+J348+J349+J350+J351</f>
        <v>462.33</v>
      </c>
      <c r="K347" s="166">
        <f>+K348+K349+K350+K351</f>
        <v>743.6700000000001</v>
      </c>
      <c r="L347" s="21"/>
      <c r="M347" s="21"/>
      <c r="N347" s="217"/>
      <c r="O347" s="217"/>
      <c r="P347" s="217"/>
      <c r="Q347" s="218"/>
      <c r="R347" s="218"/>
      <c r="S347" s="220"/>
      <c r="T347" s="130"/>
      <c r="U347" s="123"/>
      <c r="V347" s="123"/>
      <c r="W347" s="123"/>
    </row>
    <row r="348" spans="1:23" ht="12.75">
      <c r="A348" s="367">
        <f t="shared" si="42"/>
        <v>329</v>
      </c>
      <c r="B348" s="368"/>
      <c r="C348" s="368"/>
      <c r="D348" s="379" t="s">
        <v>47</v>
      </c>
      <c r="E348" s="66" t="s">
        <v>201</v>
      </c>
      <c r="F348" s="416"/>
      <c r="G348" s="79">
        <f t="shared" si="41"/>
        <v>1201.99</v>
      </c>
      <c r="H348" s="375">
        <f>'BVC  MS'!H347+'BVC DSP'!H348</f>
        <v>168.16</v>
      </c>
      <c r="I348" s="375">
        <f>'BVC  MS'!I347+'BVC DSP'!I348</f>
        <v>219.9</v>
      </c>
      <c r="J348" s="375">
        <f>'BVC  MS'!J347+'BVC DSP'!J348</f>
        <v>314.48</v>
      </c>
      <c r="K348" s="375">
        <f>'BVC  MS'!K347+'BVC DSP'!K348</f>
        <v>499.45000000000005</v>
      </c>
      <c r="L348" s="21">
        <v>1201.46</v>
      </c>
      <c r="M348" s="21">
        <f t="shared" si="43"/>
        <v>0.5299999999999727</v>
      </c>
      <c r="N348" s="314"/>
      <c r="O348" s="217"/>
      <c r="P348" s="217"/>
      <c r="Q348" s="218"/>
      <c r="R348" s="218"/>
      <c r="S348" s="219"/>
      <c r="T348" s="221"/>
      <c r="U348" s="123"/>
      <c r="V348" s="123"/>
      <c r="W348" s="123"/>
    </row>
    <row r="349" spans="1:23" ht="12.75">
      <c r="A349" s="367">
        <f t="shared" si="42"/>
        <v>330</v>
      </c>
      <c r="B349" s="368"/>
      <c r="C349" s="368"/>
      <c r="D349" s="379" t="s">
        <v>80</v>
      </c>
      <c r="E349" s="66" t="s">
        <v>202</v>
      </c>
      <c r="F349" s="416"/>
      <c r="G349" s="79">
        <f t="shared" si="41"/>
        <v>728.8199999999999</v>
      </c>
      <c r="H349" s="375">
        <f>'BVC  MS'!H348+'BVC DSP'!H349</f>
        <v>185.77</v>
      </c>
      <c r="I349" s="375">
        <f>'BVC  MS'!I348+'BVC DSP'!I349</f>
        <v>224.73000000000002</v>
      </c>
      <c r="J349" s="375">
        <f>'BVC  MS'!J348+'BVC DSP'!J349</f>
        <v>86.46</v>
      </c>
      <c r="K349" s="375">
        <f>'BVC  MS'!K348+'BVC DSP'!K349</f>
        <v>231.86</v>
      </c>
      <c r="L349" s="21">
        <v>728.72</v>
      </c>
      <c r="M349" s="21">
        <f t="shared" si="43"/>
        <v>0.09999999999990905</v>
      </c>
      <c r="N349" s="314"/>
      <c r="O349" s="217"/>
      <c r="P349" s="217"/>
      <c r="Q349" s="218"/>
      <c r="R349" s="218"/>
      <c r="S349" s="219"/>
      <c r="T349" s="221"/>
      <c r="U349" s="123"/>
      <c r="V349" s="123"/>
      <c r="W349" s="123"/>
    </row>
    <row r="350" spans="1:23" ht="12.75">
      <c r="A350" s="367">
        <f t="shared" si="42"/>
        <v>331</v>
      </c>
      <c r="B350" s="368"/>
      <c r="C350" s="368"/>
      <c r="D350" s="379" t="s">
        <v>84</v>
      </c>
      <c r="E350" s="66" t="s">
        <v>203</v>
      </c>
      <c r="F350" s="416"/>
      <c r="G350" s="79">
        <f t="shared" si="41"/>
        <v>311.68</v>
      </c>
      <c r="H350" s="375">
        <f>'BVC  MS'!H349+'BVC DSP'!H350</f>
        <v>116</v>
      </c>
      <c r="I350" s="375">
        <f>'BVC  MS'!I349+'BVC DSP'!I350</f>
        <v>131.6</v>
      </c>
      <c r="J350" s="375">
        <f>'BVC  MS'!J349+'BVC DSP'!J350</f>
        <v>51.72</v>
      </c>
      <c r="K350" s="375">
        <f>'BVC  MS'!K349+'BVC DSP'!K350</f>
        <v>12.360000000000001</v>
      </c>
      <c r="L350" s="21">
        <v>310.81</v>
      </c>
      <c r="M350" s="21">
        <f t="shared" si="43"/>
        <v>0.8700000000000045</v>
      </c>
      <c r="N350" s="314"/>
      <c r="O350" s="217"/>
      <c r="P350" s="217"/>
      <c r="Q350" s="218"/>
      <c r="R350" s="218"/>
      <c r="S350" s="219"/>
      <c r="T350" s="221"/>
      <c r="U350" s="123"/>
      <c r="V350" s="123"/>
      <c r="W350" s="123"/>
    </row>
    <row r="351" spans="1:23" ht="12.75">
      <c r="A351" s="367">
        <f t="shared" si="42"/>
        <v>332</v>
      </c>
      <c r="B351" s="368"/>
      <c r="C351" s="368"/>
      <c r="D351" s="379" t="s">
        <v>108</v>
      </c>
      <c r="E351" s="66" t="s">
        <v>204</v>
      </c>
      <c r="F351" s="416"/>
      <c r="G351" s="79">
        <f t="shared" si="41"/>
        <v>31.369999999999997</v>
      </c>
      <c r="H351" s="375">
        <f>'BVC  MS'!H350+'BVC DSP'!H351</f>
        <v>13.67</v>
      </c>
      <c r="I351" s="375">
        <f>'BVC  MS'!I350+'BVC DSP'!I351</f>
        <v>8.03</v>
      </c>
      <c r="J351" s="375">
        <f>'BVC  MS'!J350+'BVC DSP'!J351</f>
        <v>9.67</v>
      </c>
      <c r="K351" s="375">
        <f>'BVC  MS'!K350+'BVC DSP'!K351</f>
        <v>0</v>
      </c>
      <c r="L351" s="21">
        <v>31.37</v>
      </c>
      <c r="M351" s="21">
        <f t="shared" si="43"/>
        <v>0</v>
      </c>
      <c r="N351" s="314"/>
      <c r="O351" s="217"/>
      <c r="P351" s="217"/>
      <c r="Q351" s="218"/>
      <c r="R351" s="218"/>
      <c r="S351" s="219"/>
      <c r="T351" s="221"/>
      <c r="U351" s="123"/>
      <c r="V351" s="123"/>
      <c r="W351" s="123"/>
    </row>
    <row r="352" spans="1:23" ht="12.75">
      <c r="A352" s="367">
        <f t="shared" si="42"/>
        <v>333</v>
      </c>
      <c r="B352" s="368"/>
      <c r="C352" s="377" t="s">
        <v>41</v>
      </c>
      <c r="D352" s="369"/>
      <c r="E352" s="85" t="s">
        <v>205</v>
      </c>
      <c r="F352" s="49">
        <f>+F353+F354+F355</f>
        <v>0</v>
      </c>
      <c r="G352" s="50">
        <f t="shared" si="41"/>
        <v>6.609999999999999</v>
      </c>
      <c r="H352" s="166">
        <f>+H353+H354+H355</f>
        <v>0</v>
      </c>
      <c r="I352" s="166">
        <f>+I353+I354+I355</f>
        <v>1</v>
      </c>
      <c r="J352" s="166">
        <f>+J353+J354+J355</f>
        <v>2.85</v>
      </c>
      <c r="K352" s="166">
        <f>+K353+K354+K355</f>
        <v>2.76</v>
      </c>
      <c r="L352" s="21"/>
      <c r="M352" s="21">
        <f t="shared" si="43"/>
        <v>6.609999999999999</v>
      </c>
      <c r="N352" s="314"/>
      <c r="O352" s="217"/>
      <c r="P352" s="217"/>
      <c r="Q352" s="218"/>
      <c r="R352" s="218"/>
      <c r="S352" s="220"/>
      <c r="T352" s="130"/>
      <c r="U352" s="123"/>
      <c r="V352" s="123"/>
      <c r="W352" s="123"/>
    </row>
    <row r="353" spans="1:23" ht="12.75">
      <c r="A353" s="367">
        <f t="shared" si="42"/>
        <v>334</v>
      </c>
      <c r="B353" s="368"/>
      <c r="C353" s="368"/>
      <c r="D353" s="379" t="s">
        <v>47</v>
      </c>
      <c r="E353" s="66" t="s">
        <v>206</v>
      </c>
      <c r="F353" s="416"/>
      <c r="G353" s="79">
        <f t="shared" si="41"/>
        <v>0</v>
      </c>
      <c r="H353" s="375">
        <f>'BVC  MS'!H352+'BVC DSP'!H353</f>
        <v>0</v>
      </c>
      <c r="I353" s="375">
        <f>'BVC  MS'!I352+'BVC DSP'!I353</f>
        <v>0</v>
      </c>
      <c r="J353" s="375">
        <f>'BVC  MS'!J352+'BVC DSP'!J353</f>
        <v>0</v>
      </c>
      <c r="K353" s="375">
        <f>'BVC  MS'!K352+'BVC DSP'!K353</f>
        <v>0</v>
      </c>
      <c r="L353" s="21">
        <v>0</v>
      </c>
      <c r="M353" s="21">
        <f t="shared" si="43"/>
        <v>0</v>
      </c>
      <c r="N353" s="314"/>
      <c r="O353" s="217"/>
      <c r="P353" s="217"/>
      <c r="Q353" s="218"/>
      <c r="R353" s="218"/>
      <c r="S353" s="219"/>
      <c r="T353" s="221"/>
      <c r="U353" s="123"/>
      <c r="V353" s="123"/>
      <c r="W353" s="123"/>
    </row>
    <row r="354" spans="1:23" ht="12.75">
      <c r="A354" s="367">
        <f t="shared" si="42"/>
        <v>335</v>
      </c>
      <c r="B354" s="368"/>
      <c r="C354" s="368"/>
      <c r="D354" s="379" t="s">
        <v>84</v>
      </c>
      <c r="E354" s="66" t="s">
        <v>207</v>
      </c>
      <c r="F354" s="416"/>
      <c r="G354" s="79">
        <f t="shared" si="41"/>
        <v>0</v>
      </c>
      <c r="H354" s="375">
        <f>'BVC  MS'!H353+'BVC DSP'!H354</f>
        <v>0</v>
      </c>
      <c r="I354" s="375">
        <f>'BVC  MS'!I353+'BVC DSP'!I354</f>
        <v>0</v>
      </c>
      <c r="J354" s="375">
        <f>'BVC  MS'!J353+'BVC DSP'!J354</f>
        <v>0</v>
      </c>
      <c r="K354" s="375">
        <f>'BVC  MS'!K353+'BVC DSP'!K354</f>
        <v>0</v>
      </c>
      <c r="L354" s="21">
        <v>0</v>
      </c>
      <c r="M354" s="21">
        <f t="shared" si="43"/>
        <v>0</v>
      </c>
      <c r="N354" s="314"/>
      <c r="O354" s="217"/>
      <c r="P354" s="217"/>
      <c r="Q354" s="218"/>
      <c r="R354" s="218"/>
      <c r="S354" s="219"/>
      <c r="T354" s="221"/>
      <c r="U354" s="123"/>
      <c r="V354" s="123"/>
      <c r="W354" s="123"/>
    </row>
    <row r="355" spans="1:23" ht="12.75">
      <c r="A355" s="367">
        <f t="shared" si="42"/>
        <v>336</v>
      </c>
      <c r="B355" s="368"/>
      <c r="C355" s="368"/>
      <c r="D355" s="369">
        <v>30</v>
      </c>
      <c r="E355" s="66" t="s">
        <v>208</v>
      </c>
      <c r="F355" s="416"/>
      <c r="G355" s="79">
        <f t="shared" si="41"/>
        <v>6.609999999999999</v>
      </c>
      <c r="H355" s="375">
        <f>'BVC  MS'!H354+'BVC DSP'!H355</f>
        <v>0</v>
      </c>
      <c r="I355" s="375">
        <f>'BVC  MS'!I354+'BVC DSP'!I355</f>
        <v>1</v>
      </c>
      <c r="J355" s="375">
        <f>'BVC  MS'!J354+'BVC DSP'!J355</f>
        <v>2.85</v>
      </c>
      <c r="K355" s="375">
        <f>'BVC  MS'!K354+'BVC DSP'!K355</f>
        <v>2.76</v>
      </c>
      <c r="L355" s="21">
        <v>6.61</v>
      </c>
      <c r="M355" s="21">
        <f t="shared" si="43"/>
        <v>0</v>
      </c>
      <c r="N355" s="314"/>
      <c r="O355" s="217"/>
      <c r="P355" s="217"/>
      <c r="Q355" s="218"/>
      <c r="R355" s="218"/>
      <c r="S355" s="219"/>
      <c r="T355" s="130"/>
      <c r="U355" s="123"/>
      <c r="V355" s="123"/>
      <c r="W355" s="123"/>
    </row>
    <row r="356" spans="1:23" ht="12.75">
      <c r="A356" s="367">
        <f t="shared" si="42"/>
        <v>337</v>
      </c>
      <c r="B356" s="368"/>
      <c r="C356" s="377" t="s">
        <v>154</v>
      </c>
      <c r="D356" s="369"/>
      <c r="E356" s="59" t="s">
        <v>209</v>
      </c>
      <c r="F356" s="49">
        <f>+F357+F358</f>
        <v>0</v>
      </c>
      <c r="G356" s="50">
        <f t="shared" si="41"/>
        <v>0</v>
      </c>
      <c r="H356" s="166">
        <f>+H357+H358</f>
        <v>0</v>
      </c>
      <c r="I356" s="166">
        <f>+I357+I358</f>
        <v>0</v>
      </c>
      <c r="J356" s="166">
        <f>+J357+J358</f>
        <v>0</v>
      </c>
      <c r="K356" s="166">
        <f>+K357+K358</f>
        <v>0</v>
      </c>
      <c r="L356" s="21"/>
      <c r="M356" s="21"/>
      <c r="N356" s="217"/>
      <c r="O356" s="217"/>
      <c r="P356" s="217"/>
      <c r="Q356" s="218"/>
      <c r="R356" s="218"/>
      <c r="S356" s="220"/>
      <c r="T356" s="130"/>
      <c r="U356" s="123"/>
      <c r="V356" s="123"/>
      <c r="W356" s="123"/>
    </row>
    <row r="357" spans="1:23" ht="12.75">
      <c r="A357" s="367">
        <f t="shared" si="42"/>
        <v>338</v>
      </c>
      <c r="B357" s="368"/>
      <c r="C357" s="368"/>
      <c r="D357" s="379" t="s">
        <v>47</v>
      </c>
      <c r="E357" s="78" t="s">
        <v>272</v>
      </c>
      <c r="F357" s="416"/>
      <c r="G357" s="417">
        <f t="shared" si="41"/>
        <v>0</v>
      </c>
      <c r="H357" s="375">
        <f>'BVC  MS'!H356+'BVC DSP'!H357</f>
        <v>0</v>
      </c>
      <c r="I357" s="375">
        <f>'BVC  MS'!I356+'BVC DSP'!I357</f>
        <v>0</v>
      </c>
      <c r="J357" s="375">
        <f>'BVC  MS'!J356+'BVC DSP'!J357</f>
        <v>0</v>
      </c>
      <c r="K357" s="375">
        <f>'BVC  MS'!K356+'BVC DSP'!K357</f>
        <v>0</v>
      </c>
      <c r="L357" s="21"/>
      <c r="M357" s="21"/>
      <c r="N357" s="217"/>
      <c r="O357" s="217"/>
      <c r="P357" s="217"/>
      <c r="Q357" s="218"/>
      <c r="R357" s="218"/>
      <c r="S357" s="219"/>
      <c r="T357" s="221"/>
      <c r="U357" s="123"/>
      <c r="V357" s="123"/>
      <c r="W357" s="123"/>
    </row>
    <row r="358" spans="1:23" ht="12.75">
      <c r="A358" s="367">
        <f t="shared" si="42"/>
        <v>339</v>
      </c>
      <c r="B358" s="368"/>
      <c r="C358" s="368"/>
      <c r="D358" s="379" t="s">
        <v>80</v>
      </c>
      <c r="E358" s="66" t="s">
        <v>211</v>
      </c>
      <c r="F358" s="416"/>
      <c r="G358" s="79">
        <f t="shared" si="41"/>
        <v>0</v>
      </c>
      <c r="H358" s="375">
        <f>'BVC  MS'!H357+'BVC DSP'!H358</f>
        <v>0</v>
      </c>
      <c r="I358" s="375">
        <f>'BVC  MS'!I357+'BVC DSP'!I358</f>
        <v>0</v>
      </c>
      <c r="J358" s="375">
        <f>'BVC  MS'!J357+'BVC DSP'!J358</f>
        <v>0</v>
      </c>
      <c r="K358" s="375">
        <f>'BVC  MS'!K357+'BVC DSP'!K358</f>
        <v>0</v>
      </c>
      <c r="L358" s="21"/>
      <c r="M358" s="21"/>
      <c r="N358" s="217"/>
      <c r="O358" s="123"/>
      <c r="P358" s="123"/>
      <c r="Q358" s="218"/>
      <c r="R358" s="218"/>
      <c r="S358" s="219"/>
      <c r="T358" s="221"/>
      <c r="U358" s="123"/>
      <c r="V358" s="123"/>
      <c r="W358" s="123"/>
    </row>
    <row r="359" spans="1:23" ht="12.75">
      <c r="A359" s="367">
        <f t="shared" si="42"/>
        <v>340</v>
      </c>
      <c r="B359" s="368"/>
      <c r="C359" s="377" t="s">
        <v>160</v>
      </c>
      <c r="D359" s="369"/>
      <c r="E359" s="85" t="s">
        <v>212</v>
      </c>
      <c r="F359" s="416"/>
      <c r="G359" s="79">
        <f t="shared" si="41"/>
        <v>0</v>
      </c>
      <c r="H359" s="375">
        <f>'BVC  MS'!H358+'BVC DSP'!H359</f>
        <v>0</v>
      </c>
      <c r="I359" s="375">
        <f>'BVC  MS'!I358+'BVC DSP'!I359</f>
        <v>0</v>
      </c>
      <c r="J359" s="375">
        <f>'BVC  MS'!J358+'BVC DSP'!J359</f>
        <v>0</v>
      </c>
      <c r="K359" s="375">
        <f>'BVC  MS'!K358+'BVC DSP'!K359</f>
        <v>0</v>
      </c>
      <c r="L359" s="21"/>
      <c r="M359" s="21"/>
      <c r="N359" s="217"/>
      <c r="O359" s="123"/>
      <c r="P359" s="123"/>
      <c r="Q359" s="218"/>
      <c r="R359" s="218"/>
      <c r="S359" s="220"/>
      <c r="T359" s="130"/>
      <c r="U359" s="123"/>
      <c r="V359" s="123"/>
      <c r="W359" s="123"/>
    </row>
    <row r="360" spans="1:23" ht="12.75">
      <c r="A360" s="367">
        <f t="shared" si="42"/>
        <v>341</v>
      </c>
      <c r="B360" s="368"/>
      <c r="C360" s="368">
        <v>10</v>
      </c>
      <c r="D360" s="369"/>
      <c r="E360" s="85" t="s">
        <v>213</v>
      </c>
      <c r="F360" s="416"/>
      <c r="G360" s="79">
        <f aca="true" t="shared" si="44" ref="G360:G392">H360+I360+J360+K360</f>
        <v>0</v>
      </c>
      <c r="H360" s="375">
        <f>'BVC  MS'!H359+'BVC DSP'!H360</f>
        <v>0</v>
      </c>
      <c r="I360" s="375">
        <f>'BVC  MS'!I359+'BVC DSP'!I360</f>
        <v>0</v>
      </c>
      <c r="J360" s="375">
        <f>'BVC  MS'!J359+'BVC DSP'!J360</f>
        <v>0</v>
      </c>
      <c r="K360" s="375">
        <f>'BVC  MS'!K359+'BVC DSP'!K360</f>
        <v>0</v>
      </c>
      <c r="L360" s="21"/>
      <c r="M360" s="21"/>
      <c r="N360" s="217"/>
      <c r="O360" s="123"/>
      <c r="P360" s="123"/>
      <c r="Q360" s="218"/>
      <c r="R360" s="218"/>
      <c r="S360" s="219"/>
      <c r="T360" s="130"/>
      <c r="U360" s="123"/>
      <c r="V360" s="123"/>
      <c r="W360" s="123"/>
    </row>
    <row r="361" spans="1:23" ht="12.75">
      <c r="A361" s="367">
        <f aca="true" t="shared" si="45" ref="A361:A409">A360+1</f>
        <v>342</v>
      </c>
      <c r="B361" s="368"/>
      <c r="C361" s="368">
        <v>11</v>
      </c>
      <c r="D361" s="369"/>
      <c r="E361" s="85" t="s">
        <v>273</v>
      </c>
      <c r="F361" s="416"/>
      <c r="G361" s="79">
        <f t="shared" si="44"/>
        <v>0</v>
      </c>
      <c r="H361" s="375">
        <f>'BVC  MS'!H360+'BVC DSP'!H361</f>
        <v>0</v>
      </c>
      <c r="I361" s="375">
        <f>'BVC  MS'!I360+'BVC DSP'!I361</f>
        <v>0</v>
      </c>
      <c r="J361" s="375">
        <f>'BVC  MS'!J360+'BVC DSP'!J361</f>
        <v>0</v>
      </c>
      <c r="K361" s="375">
        <f>'BVC  MS'!K360+'BVC DSP'!K361</f>
        <v>0</v>
      </c>
      <c r="L361" s="21"/>
      <c r="M361" s="21"/>
      <c r="N361" s="217"/>
      <c r="O361" s="123"/>
      <c r="P361" s="123"/>
      <c r="Q361" s="218"/>
      <c r="R361" s="218"/>
      <c r="S361" s="219"/>
      <c r="T361" s="130"/>
      <c r="U361" s="123"/>
      <c r="V361" s="123"/>
      <c r="W361" s="123"/>
    </row>
    <row r="362" spans="1:23" ht="12.75">
      <c r="A362" s="367">
        <f t="shared" si="45"/>
        <v>343</v>
      </c>
      <c r="B362" s="368"/>
      <c r="C362" s="368">
        <v>12</v>
      </c>
      <c r="D362" s="369"/>
      <c r="E362" s="85" t="s">
        <v>274</v>
      </c>
      <c r="F362" s="416"/>
      <c r="G362" s="79">
        <f t="shared" si="44"/>
        <v>0</v>
      </c>
      <c r="H362" s="375">
        <f>'BVC  MS'!H361+'BVC DSP'!H362</f>
        <v>0</v>
      </c>
      <c r="I362" s="375">
        <f>'BVC  MS'!I361+'BVC DSP'!I362</f>
        <v>0</v>
      </c>
      <c r="J362" s="375">
        <f>'BVC  MS'!J361+'BVC DSP'!J362</f>
        <v>0</v>
      </c>
      <c r="K362" s="375">
        <f>'BVC  MS'!K361+'BVC DSP'!K362</f>
        <v>0</v>
      </c>
      <c r="L362" s="21"/>
      <c r="M362" s="21"/>
      <c r="N362" s="217"/>
      <c r="O362" s="123"/>
      <c r="P362" s="123"/>
      <c r="Q362" s="218"/>
      <c r="R362" s="218"/>
      <c r="S362" s="219"/>
      <c r="T362" s="130"/>
      <c r="U362" s="123"/>
      <c r="V362" s="123"/>
      <c r="W362" s="123"/>
    </row>
    <row r="363" spans="1:23" ht="12.75">
      <c r="A363" s="367">
        <f t="shared" si="45"/>
        <v>344</v>
      </c>
      <c r="B363" s="368"/>
      <c r="C363" s="368">
        <v>13</v>
      </c>
      <c r="D363" s="369"/>
      <c r="E363" s="85" t="s">
        <v>216</v>
      </c>
      <c r="F363" s="416"/>
      <c r="G363" s="79">
        <f t="shared" si="44"/>
        <v>0</v>
      </c>
      <c r="H363" s="375">
        <f>'BVC  MS'!H362+'BVC DSP'!H363</f>
        <v>0</v>
      </c>
      <c r="I363" s="375">
        <f>'BVC  MS'!I362+'BVC DSP'!I363</f>
        <v>0</v>
      </c>
      <c r="J363" s="375">
        <f>'BVC  MS'!J362+'BVC DSP'!J363</f>
        <v>0</v>
      </c>
      <c r="K363" s="375">
        <f>'BVC  MS'!K362+'BVC DSP'!K363</f>
        <v>0</v>
      </c>
      <c r="L363" s="21"/>
      <c r="M363" s="21"/>
      <c r="N363" s="217"/>
      <c r="O363" s="123"/>
      <c r="P363" s="123"/>
      <c r="Q363" s="218"/>
      <c r="R363" s="218"/>
      <c r="S363" s="219"/>
      <c r="T363" s="130"/>
      <c r="U363" s="123"/>
      <c r="V363" s="123"/>
      <c r="W363" s="123"/>
    </row>
    <row r="364" spans="1:23" ht="12.75">
      <c r="A364" s="367">
        <f t="shared" si="45"/>
        <v>345</v>
      </c>
      <c r="B364" s="368"/>
      <c r="C364" s="368">
        <v>14</v>
      </c>
      <c r="D364" s="369"/>
      <c r="E364" s="85" t="s">
        <v>217</v>
      </c>
      <c r="F364" s="416"/>
      <c r="G364" s="79">
        <f t="shared" si="44"/>
        <v>0</v>
      </c>
      <c r="H364" s="375">
        <f>'BVC  MS'!H363+'BVC DSP'!H364</f>
        <v>0</v>
      </c>
      <c r="I364" s="375">
        <f>'BVC  MS'!I363+'BVC DSP'!I364</f>
        <v>0</v>
      </c>
      <c r="J364" s="375">
        <f>'BVC  MS'!J363+'BVC DSP'!J364</f>
        <v>0</v>
      </c>
      <c r="K364" s="375">
        <f>'BVC  MS'!K363+'BVC DSP'!K364</f>
        <v>0</v>
      </c>
      <c r="L364" s="21"/>
      <c r="M364" s="21"/>
      <c r="N364" s="217"/>
      <c r="O364" s="123"/>
      <c r="P364" s="123"/>
      <c r="Q364" s="218"/>
      <c r="R364" s="218"/>
      <c r="S364" s="219"/>
      <c r="T364" s="130"/>
      <c r="U364" s="123"/>
      <c r="V364" s="123"/>
      <c r="W364" s="123"/>
    </row>
    <row r="365" spans="1:23" ht="12.75">
      <c r="A365" s="367">
        <f t="shared" si="45"/>
        <v>346</v>
      </c>
      <c r="B365" s="368"/>
      <c r="C365" s="368">
        <v>25</v>
      </c>
      <c r="D365" s="369"/>
      <c r="E365" s="85" t="s">
        <v>218</v>
      </c>
      <c r="F365" s="416"/>
      <c r="G365" s="79">
        <f t="shared" si="44"/>
        <v>0</v>
      </c>
      <c r="H365" s="375">
        <f>'BVC  MS'!H364+'BVC DSP'!H365</f>
        <v>0</v>
      </c>
      <c r="I365" s="375">
        <f>'BVC  MS'!I364+'BVC DSP'!I365</f>
        <v>0</v>
      </c>
      <c r="J365" s="375">
        <f>'BVC  MS'!J364+'BVC DSP'!J365</f>
        <v>0</v>
      </c>
      <c r="K365" s="375">
        <f>'BVC  MS'!K364+'BVC DSP'!K365</f>
        <v>0</v>
      </c>
      <c r="L365" s="21"/>
      <c r="M365" s="21"/>
      <c r="N365" s="217"/>
      <c r="O365" s="123"/>
      <c r="P365" s="123"/>
      <c r="Q365" s="218"/>
      <c r="R365" s="218"/>
      <c r="S365" s="219"/>
      <c r="T365" s="130"/>
      <c r="U365" s="123"/>
      <c r="V365" s="123"/>
      <c r="W365" s="123"/>
    </row>
    <row r="366" spans="1:23" ht="12.75">
      <c r="A366" s="367">
        <f t="shared" si="45"/>
        <v>347</v>
      </c>
      <c r="B366" s="368"/>
      <c r="C366" s="368">
        <v>27</v>
      </c>
      <c r="D366" s="369"/>
      <c r="E366" s="85" t="s">
        <v>219</v>
      </c>
      <c r="F366" s="416"/>
      <c r="G366" s="79">
        <f t="shared" si="44"/>
        <v>0</v>
      </c>
      <c r="H366" s="375">
        <f>'BVC  MS'!H365+'BVC DSP'!H366</f>
        <v>0</v>
      </c>
      <c r="I366" s="375">
        <f>'BVC  MS'!I365+'BVC DSP'!I366</f>
        <v>0</v>
      </c>
      <c r="J366" s="375">
        <f>'BVC  MS'!J365+'BVC DSP'!J366</f>
        <v>0</v>
      </c>
      <c r="K366" s="375">
        <f>'BVC  MS'!K365+'BVC DSP'!K366</f>
        <v>0</v>
      </c>
      <c r="L366" s="21"/>
      <c r="M366" s="21"/>
      <c r="N366" s="217"/>
      <c r="O366" s="123"/>
      <c r="P366" s="123"/>
      <c r="Q366" s="218"/>
      <c r="R366" s="218"/>
      <c r="S366" s="219"/>
      <c r="T366" s="130"/>
      <c r="U366" s="123"/>
      <c r="V366" s="123"/>
      <c r="W366" s="123"/>
    </row>
    <row r="367" spans="1:23" ht="12.75">
      <c r="A367" s="367">
        <f t="shared" si="45"/>
        <v>348</v>
      </c>
      <c r="B367" s="368"/>
      <c r="C367" s="368">
        <v>30</v>
      </c>
      <c r="D367" s="369"/>
      <c r="E367" s="85" t="s">
        <v>120</v>
      </c>
      <c r="F367" s="49">
        <f>+F368+F369+F370+F371+F372</f>
        <v>0</v>
      </c>
      <c r="G367" s="50">
        <f t="shared" si="44"/>
        <v>0</v>
      </c>
      <c r="H367" s="166">
        <f>+H368+H369+H370+H371+H372</f>
        <v>0</v>
      </c>
      <c r="I367" s="166">
        <f>+I368+I369+I370+I371+I372</f>
        <v>0</v>
      </c>
      <c r="J367" s="166">
        <f>+J368+J369+J370+J371+J372</f>
        <v>0</v>
      </c>
      <c r="K367" s="166">
        <f>+K368+K369+K370+K371+K372</f>
        <v>0</v>
      </c>
      <c r="L367" s="21"/>
      <c r="M367" s="21"/>
      <c r="N367" s="217"/>
      <c r="O367" s="123"/>
      <c r="P367" s="123"/>
      <c r="Q367" s="218"/>
      <c r="R367" s="218"/>
      <c r="S367" s="219"/>
      <c r="T367" s="130"/>
      <c r="U367" s="123"/>
      <c r="V367" s="123"/>
      <c r="W367" s="123"/>
    </row>
    <row r="368" spans="1:23" ht="12.75">
      <c r="A368" s="367">
        <f t="shared" si="45"/>
        <v>349</v>
      </c>
      <c r="B368" s="368"/>
      <c r="C368" s="368"/>
      <c r="D368" s="379" t="s">
        <v>47</v>
      </c>
      <c r="E368" s="66" t="s">
        <v>220</v>
      </c>
      <c r="F368" s="416"/>
      <c r="G368" s="79">
        <f t="shared" si="44"/>
        <v>0</v>
      </c>
      <c r="H368" s="375">
        <f>'BVC  MS'!H367+'BVC DSP'!H368</f>
        <v>0</v>
      </c>
      <c r="I368" s="375">
        <f>'BVC  MS'!I367+'BVC DSP'!I368</f>
        <v>0</v>
      </c>
      <c r="J368" s="375">
        <f>'BVC  MS'!J367+'BVC DSP'!J368</f>
        <v>0</v>
      </c>
      <c r="K368" s="375">
        <f>'BVC  MS'!K367+'BVC DSP'!K368</f>
        <v>0</v>
      </c>
      <c r="L368" s="21"/>
      <c r="M368" s="21"/>
      <c r="N368" s="217"/>
      <c r="O368" s="123"/>
      <c r="P368" s="123"/>
      <c r="Q368" s="123"/>
      <c r="R368" s="123"/>
      <c r="S368" s="123"/>
      <c r="T368" s="123"/>
      <c r="U368" s="123"/>
      <c r="V368" s="123"/>
      <c r="W368" s="123"/>
    </row>
    <row r="369" spans="1:23" ht="12.75">
      <c r="A369" s="367">
        <f t="shared" si="45"/>
        <v>350</v>
      </c>
      <c r="B369" s="368"/>
      <c r="C369" s="368"/>
      <c r="D369" s="379" t="s">
        <v>84</v>
      </c>
      <c r="E369" s="66" t="s">
        <v>221</v>
      </c>
      <c r="F369" s="416"/>
      <c r="G369" s="79">
        <f t="shared" si="44"/>
        <v>0</v>
      </c>
      <c r="H369" s="375">
        <f>'BVC  MS'!H368+'BVC DSP'!H369</f>
        <v>0</v>
      </c>
      <c r="I369" s="375">
        <f>'BVC  MS'!I368+'BVC DSP'!I369</f>
        <v>0</v>
      </c>
      <c r="J369" s="375">
        <f>'BVC  MS'!J368+'BVC DSP'!J369</f>
        <v>0</v>
      </c>
      <c r="K369" s="375">
        <f>'BVC  MS'!K368+'BVC DSP'!K369</f>
        <v>0</v>
      </c>
      <c r="L369" s="21"/>
      <c r="M369" s="21"/>
      <c r="N369" s="217"/>
      <c r="O369" s="123"/>
      <c r="P369" s="123"/>
      <c r="Q369" s="123"/>
      <c r="R369" s="123"/>
      <c r="S369" s="123"/>
      <c r="T369" s="123"/>
      <c r="U369" s="123"/>
      <c r="V369" s="123"/>
      <c r="W369" s="123"/>
    </row>
    <row r="370" spans="1:23" ht="12.75">
      <c r="A370" s="367">
        <f t="shared" si="45"/>
        <v>351</v>
      </c>
      <c r="B370" s="368"/>
      <c r="C370" s="368"/>
      <c r="D370" s="379" t="s">
        <v>108</v>
      </c>
      <c r="E370" s="66" t="s">
        <v>222</v>
      </c>
      <c r="F370" s="416"/>
      <c r="G370" s="79">
        <f t="shared" si="44"/>
        <v>0</v>
      </c>
      <c r="H370" s="375">
        <f>'BVC  MS'!H369+'BVC DSP'!H370</f>
        <v>0</v>
      </c>
      <c r="I370" s="375">
        <f>'BVC  MS'!I369+'BVC DSP'!I370</f>
        <v>0</v>
      </c>
      <c r="J370" s="375">
        <f>'BVC  MS'!J369+'BVC DSP'!J370</f>
        <v>0</v>
      </c>
      <c r="K370" s="375">
        <f>'BVC  MS'!K369+'BVC DSP'!K370</f>
        <v>0</v>
      </c>
      <c r="L370" s="21"/>
      <c r="M370" s="21"/>
      <c r="N370" s="217"/>
      <c r="O370" s="123"/>
      <c r="P370" s="123"/>
      <c r="Q370" s="123"/>
      <c r="R370" s="123"/>
      <c r="S370" s="123"/>
      <c r="T370" s="123"/>
      <c r="U370" s="123"/>
      <c r="V370" s="123"/>
      <c r="W370" s="123"/>
    </row>
    <row r="371" spans="1:23" ht="12.75">
      <c r="A371" s="367">
        <f t="shared" si="45"/>
        <v>352</v>
      </c>
      <c r="B371" s="368"/>
      <c r="C371" s="368"/>
      <c r="D371" s="379" t="s">
        <v>160</v>
      </c>
      <c r="E371" s="66" t="s">
        <v>223</v>
      </c>
      <c r="F371" s="416"/>
      <c r="G371" s="79">
        <f t="shared" si="44"/>
        <v>0</v>
      </c>
      <c r="H371" s="375">
        <f>'BVC  MS'!H370+'BVC DSP'!H371</f>
        <v>0</v>
      </c>
      <c r="I371" s="375">
        <f>'BVC  MS'!I370+'BVC DSP'!I371</f>
        <v>0</v>
      </c>
      <c r="J371" s="375">
        <f>'BVC  MS'!J370+'BVC DSP'!J371</f>
        <v>0</v>
      </c>
      <c r="K371" s="375">
        <f>'BVC  MS'!K370+'BVC DSP'!K371</f>
        <v>0</v>
      </c>
      <c r="L371" s="21"/>
      <c r="M371" s="21"/>
      <c r="N371" s="217"/>
      <c r="O371" s="123"/>
      <c r="P371" s="123"/>
      <c r="Q371" s="123"/>
      <c r="R371" s="123"/>
      <c r="S371" s="123"/>
      <c r="T371" s="123"/>
      <c r="U371" s="123"/>
      <c r="V371" s="123"/>
      <c r="W371" s="123"/>
    </row>
    <row r="372" spans="1:23" ht="12.75">
      <c r="A372" s="367">
        <f t="shared" si="45"/>
        <v>353</v>
      </c>
      <c r="B372" s="368"/>
      <c r="C372" s="368"/>
      <c r="D372" s="369">
        <v>30</v>
      </c>
      <c r="E372" s="66" t="s">
        <v>224</v>
      </c>
      <c r="F372" s="416"/>
      <c r="G372" s="79">
        <f t="shared" si="44"/>
        <v>0</v>
      </c>
      <c r="H372" s="375">
        <f>'BVC  MS'!H371+'BVC DSP'!H372</f>
        <v>0</v>
      </c>
      <c r="I372" s="375">
        <f>'BVC  MS'!I371+'BVC DSP'!I372</f>
        <v>0</v>
      </c>
      <c r="J372" s="375">
        <f>'BVC  MS'!J371+'BVC DSP'!J372</f>
        <v>0</v>
      </c>
      <c r="K372" s="375">
        <f>'BVC  MS'!K371+'BVC DSP'!K372</f>
        <v>0</v>
      </c>
      <c r="L372" s="21"/>
      <c r="M372" s="21"/>
      <c r="N372" s="217"/>
      <c r="O372" s="123"/>
      <c r="P372" s="123"/>
      <c r="Q372" s="123"/>
      <c r="R372" s="123"/>
      <c r="S372" s="123"/>
      <c r="T372" s="123"/>
      <c r="U372" s="123"/>
      <c r="V372" s="123"/>
      <c r="W372" s="123"/>
    </row>
    <row r="373" spans="1:23" ht="12.75">
      <c r="A373" s="367">
        <f t="shared" si="45"/>
        <v>354</v>
      </c>
      <c r="B373" s="395">
        <v>30</v>
      </c>
      <c r="C373" s="395"/>
      <c r="D373" s="396"/>
      <c r="E373" s="418" t="s">
        <v>225</v>
      </c>
      <c r="F373" s="49">
        <f aca="true" t="shared" si="46" ref="F373:K374">+F374</f>
        <v>0</v>
      </c>
      <c r="G373" s="50">
        <f t="shared" si="44"/>
        <v>0</v>
      </c>
      <c r="H373" s="49">
        <f t="shared" si="46"/>
        <v>0</v>
      </c>
      <c r="I373" s="49">
        <f t="shared" si="46"/>
        <v>0</v>
      </c>
      <c r="J373" s="49">
        <f t="shared" si="46"/>
        <v>0</v>
      </c>
      <c r="K373" s="124">
        <f t="shared" si="46"/>
        <v>0</v>
      </c>
      <c r="L373" s="21"/>
      <c r="M373" s="21"/>
      <c r="N373" s="217"/>
      <c r="O373" s="123"/>
      <c r="P373" s="123"/>
      <c r="Q373" s="123"/>
      <c r="R373" s="123"/>
      <c r="S373" s="123"/>
      <c r="T373" s="123"/>
      <c r="U373" s="123"/>
      <c r="V373" s="123"/>
      <c r="W373" s="123"/>
    </row>
    <row r="374" spans="1:23" ht="12.75">
      <c r="A374" s="367">
        <f t="shared" si="45"/>
        <v>355</v>
      </c>
      <c r="B374" s="395"/>
      <c r="C374" s="401" t="s">
        <v>84</v>
      </c>
      <c r="D374" s="396"/>
      <c r="E374" s="418" t="s">
        <v>226</v>
      </c>
      <c r="F374" s="49">
        <f t="shared" si="46"/>
        <v>0</v>
      </c>
      <c r="G374" s="50">
        <f t="shared" si="44"/>
        <v>0</v>
      </c>
      <c r="H374" s="49">
        <f t="shared" si="46"/>
        <v>0</v>
      </c>
      <c r="I374" s="49">
        <f t="shared" si="46"/>
        <v>0</v>
      </c>
      <c r="J374" s="49">
        <f t="shared" si="46"/>
        <v>0</v>
      </c>
      <c r="K374" s="124">
        <f t="shared" si="46"/>
        <v>0</v>
      </c>
      <c r="L374" s="21"/>
      <c r="M374" s="21"/>
      <c r="N374" s="217"/>
      <c r="O374" s="123"/>
      <c r="P374" s="123"/>
      <c r="Q374" s="123"/>
      <c r="R374" s="123"/>
      <c r="S374" s="123"/>
      <c r="T374" s="123"/>
      <c r="U374" s="123"/>
      <c r="V374" s="123"/>
      <c r="W374" s="123"/>
    </row>
    <row r="375" spans="1:23" ht="12.75">
      <c r="A375" s="367">
        <f t="shared" si="45"/>
        <v>356</v>
      </c>
      <c r="B375" s="395"/>
      <c r="C375" s="401"/>
      <c r="D375" s="402" t="s">
        <v>41</v>
      </c>
      <c r="E375" s="419" t="s">
        <v>227</v>
      </c>
      <c r="F375" s="375"/>
      <c r="G375" s="79">
        <f t="shared" si="44"/>
        <v>0</v>
      </c>
      <c r="H375" s="375">
        <f>'BVC  MS'!H374+'BVC DSP'!H375</f>
        <v>0</v>
      </c>
      <c r="I375" s="375">
        <f>'BVC  MS'!I374+'BVC DSP'!I375</f>
        <v>0</v>
      </c>
      <c r="J375" s="375">
        <f>'BVC  MS'!J374+'BVC DSP'!J375</f>
        <v>0</v>
      </c>
      <c r="K375" s="375">
        <f>'BVC  MS'!K374+'BVC DSP'!K375</f>
        <v>0</v>
      </c>
      <c r="L375" s="21"/>
      <c r="M375" s="21"/>
      <c r="N375" s="217"/>
      <c r="O375" s="123"/>
      <c r="P375" s="123"/>
      <c r="Q375" s="123"/>
      <c r="R375" s="123"/>
      <c r="S375" s="123"/>
      <c r="T375" s="123"/>
      <c r="U375" s="123"/>
      <c r="V375" s="123"/>
      <c r="W375" s="123"/>
    </row>
    <row r="376" spans="1:23" ht="25.5">
      <c r="A376" s="367">
        <f t="shared" si="45"/>
        <v>357</v>
      </c>
      <c r="B376" s="404" t="s">
        <v>228</v>
      </c>
      <c r="C376" s="401"/>
      <c r="D376" s="402"/>
      <c r="E376" s="413" t="s">
        <v>229</v>
      </c>
      <c r="F376" s="375"/>
      <c r="G376" s="79">
        <f t="shared" si="44"/>
        <v>0</v>
      </c>
      <c r="H376" s="375">
        <f>'BVC  MS'!H375+'BVC DSP'!H376</f>
        <v>0</v>
      </c>
      <c r="I376" s="375">
        <f>'BVC  MS'!I375+'BVC DSP'!I376</f>
        <v>0</v>
      </c>
      <c r="J376" s="375">
        <f>'BVC  MS'!J375+'BVC DSP'!J376</f>
        <v>0</v>
      </c>
      <c r="K376" s="375">
        <f>'BVC  MS'!K375+'BVC DSP'!K376</f>
        <v>0</v>
      </c>
      <c r="L376" s="21"/>
      <c r="M376" s="21"/>
      <c r="N376" s="217"/>
      <c r="O376" s="123"/>
      <c r="P376" s="123"/>
      <c r="Q376" s="123"/>
      <c r="R376" s="123"/>
      <c r="S376" s="123"/>
      <c r="T376" s="123"/>
      <c r="U376" s="123"/>
      <c r="V376" s="123"/>
      <c r="W376" s="123"/>
    </row>
    <row r="377" spans="1:23" ht="12.75">
      <c r="A377" s="367">
        <f t="shared" si="45"/>
        <v>358</v>
      </c>
      <c r="B377" s="395">
        <v>57</v>
      </c>
      <c r="C377" s="401"/>
      <c r="D377" s="402"/>
      <c r="E377" s="418" t="s">
        <v>230</v>
      </c>
      <c r="F377" s="109">
        <f aca="true" t="shared" si="47" ref="F377:K378">F378</f>
        <v>0</v>
      </c>
      <c r="G377" s="109">
        <f t="shared" si="44"/>
        <v>0</v>
      </c>
      <c r="H377" s="109">
        <f t="shared" si="47"/>
        <v>0</v>
      </c>
      <c r="I377" s="109">
        <f t="shared" si="47"/>
        <v>0</v>
      </c>
      <c r="J377" s="109">
        <f t="shared" si="47"/>
        <v>0</v>
      </c>
      <c r="K377" s="109">
        <f t="shared" si="47"/>
        <v>0</v>
      </c>
      <c r="L377" s="21"/>
      <c r="M377" s="21"/>
      <c r="N377" s="217"/>
      <c r="O377" s="123"/>
      <c r="P377" s="123"/>
      <c r="Q377" s="123"/>
      <c r="R377" s="123"/>
      <c r="S377" s="123"/>
      <c r="T377" s="123"/>
      <c r="U377" s="123"/>
      <c r="V377" s="123"/>
      <c r="W377" s="123"/>
    </row>
    <row r="378" spans="1:23" ht="12.75">
      <c r="A378" s="367">
        <f t="shared" si="45"/>
        <v>359</v>
      </c>
      <c r="B378" s="395"/>
      <c r="C378" s="401" t="s">
        <v>47</v>
      </c>
      <c r="D378" s="402"/>
      <c r="E378" s="418" t="s">
        <v>231</v>
      </c>
      <c r="F378" s="109">
        <f t="shared" si="47"/>
        <v>0</v>
      </c>
      <c r="G378" s="109">
        <f t="shared" si="44"/>
        <v>0</v>
      </c>
      <c r="H378" s="109">
        <f t="shared" si="47"/>
        <v>0</v>
      </c>
      <c r="I378" s="109">
        <f t="shared" si="47"/>
        <v>0</v>
      </c>
      <c r="J378" s="109">
        <f t="shared" si="47"/>
        <v>0</v>
      </c>
      <c r="K378" s="109">
        <f t="shared" si="47"/>
        <v>0</v>
      </c>
      <c r="L378" s="21"/>
      <c r="M378" s="21"/>
      <c r="N378" s="217"/>
      <c r="O378" s="123"/>
      <c r="P378" s="123"/>
      <c r="Q378" s="123"/>
      <c r="R378" s="123"/>
      <c r="S378" s="123"/>
      <c r="T378" s="123"/>
      <c r="U378" s="123"/>
      <c r="V378" s="123"/>
      <c r="W378" s="123"/>
    </row>
    <row r="379" spans="1:23" ht="12.75">
      <c r="A379" s="367">
        <f t="shared" si="45"/>
        <v>360</v>
      </c>
      <c r="B379" s="395"/>
      <c r="C379" s="401" t="s">
        <v>80</v>
      </c>
      <c r="D379" s="402"/>
      <c r="E379" s="419" t="s">
        <v>232</v>
      </c>
      <c r="F379" s="109">
        <f>F380+F381+F382+F383</f>
        <v>0</v>
      </c>
      <c r="G379" s="109">
        <f t="shared" si="44"/>
        <v>0</v>
      </c>
      <c r="H379" s="109">
        <f>H380+H381+H382+H383</f>
        <v>0</v>
      </c>
      <c r="I379" s="109">
        <f>I380+I381+I382+I383</f>
        <v>0</v>
      </c>
      <c r="J379" s="109">
        <f>J380+J381+J382+J383</f>
        <v>0</v>
      </c>
      <c r="K379" s="420">
        <f>K380+K381+K382+K383</f>
        <v>0</v>
      </c>
      <c r="L379" s="21"/>
      <c r="M379" s="21"/>
      <c r="N379" s="217"/>
      <c r="O379" s="123"/>
      <c r="P379" s="123"/>
      <c r="Q379" s="123"/>
      <c r="R379" s="123"/>
      <c r="S379" s="123"/>
      <c r="T379" s="123"/>
      <c r="U379" s="123"/>
      <c r="V379" s="123"/>
      <c r="W379" s="123"/>
    </row>
    <row r="380" spans="1:23" ht="12.75">
      <c r="A380" s="367">
        <f t="shared" si="45"/>
        <v>361</v>
      </c>
      <c r="B380" s="395"/>
      <c r="C380" s="401"/>
      <c r="D380" s="402" t="s">
        <v>47</v>
      </c>
      <c r="E380" s="419" t="s">
        <v>233</v>
      </c>
      <c r="F380" s="375"/>
      <c r="G380" s="109">
        <f t="shared" si="44"/>
        <v>0</v>
      </c>
      <c r="H380" s="375">
        <f>'BVC  MS'!H379+'BVC DSP'!H380</f>
        <v>0</v>
      </c>
      <c r="I380" s="375">
        <f>'BVC  MS'!I379+'BVC DSP'!I380</f>
        <v>0</v>
      </c>
      <c r="J380" s="375">
        <f>'BVC  MS'!J379+'BVC DSP'!J380</f>
        <v>0</v>
      </c>
      <c r="K380" s="375">
        <f>'BVC  MS'!K379+'BVC DSP'!K380</f>
        <v>0</v>
      </c>
      <c r="L380" s="21"/>
      <c r="M380" s="21"/>
      <c r="N380" s="217"/>
      <c r="O380" s="123"/>
      <c r="P380" s="123"/>
      <c r="Q380" s="123"/>
      <c r="R380" s="123"/>
      <c r="S380" s="123"/>
      <c r="T380" s="123"/>
      <c r="U380" s="123"/>
      <c r="V380" s="123"/>
      <c r="W380" s="123"/>
    </row>
    <row r="381" spans="1:23" ht="12.75">
      <c r="A381" s="367">
        <f t="shared" si="45"/>
        <v>362</v>
      </c>
      <c r="B381" s="395"/>
      <c r="C381" s="401"/>
      <c r="D381" s="402" t="s">
        <v>80</v>
      </c>
      <c r="E381" s="419" t="s">
        <v>234</v>
      </c>
      <c r="F381" s="375"/>
      <c r="G381" s="109">
        <f t="shared" si="44"/>
        <v>0</v>
      </c>
      <c r="H381" s="375">
        <f>'BVC  MS'!H380+'BVC DSP'!H381</f>
        <v>0</v>
      </c>
      <c r="I381" s="375">
        <f>'BVC  MS'!I380+'BVC DSP'!I381</f>
        <v>0</v>
      </c>
      <c r="J381" s="375">
        <f>'BVC  MS'!J380+'BVC DSP'!J381</f>
        <v>0</v>
      </c>
      <c r="K381" s="375">
        <f>'BVC  MS'!K380+'BVC DSP'!K381</f>
        <v>0</v>
      </c>
      <c r="L381" s="21"/>
      <c r="M381" s="21"/>
      <c r="N381" s="217"/>
      <c r="O381" s="123"/>
      <c r="P381" s="123"/>
      <c r="Q381" s="123"/>
      <c r="R381" s="123"/>
      <c r="S381" s="123"/>
      <c r="T381" s="123"/>
      <c r="U381" s="123"/>
      <c r="V381" s="123"/>
      <c r="W381" s="123"/>
    </row>
    <row r="382" spans="1:23" ht="12.75">
      <c r="A382" s="367">
        <f t="shared" si="45"/>
        <v>363</v>
      </c>
      <c r="B382" s="395"/>
      <c r="C382" s="401"/>
      <c r="D382" s="402" t="s">
        <v>84</v>
      </c>
      <c r="E382" s="419" t="s">
        <v>235</v>
      </c>
      <c r="F382" s="375"/>
      <c r="G382" s="109">
        <f t="shared" si="44"/>
        <v>0</v>
      </c>
      <c r="H382" s="375">
        <f>'BVC  MS'!H381+'BVC DSP'!H382</f>
        <v>0</v>
      </c>
      <c r="I382" s="375">
        <f>'BVC  MS'!I381+'BVC DSP'!I382</f>
        <v>0</v>
      </c>
      <c r="J382" s="375">
        <f>'BVC  MS'!J381+'BVC DSP'!J382</f>
        <v>0</v>
      </c>
      <c r="K382" s="375">
        <f>'BVC  MS'!K381+'BVC DSP'!K382</f>
        <v>0</v>
      </c>
      <c r="L382" s="21"/>
      <c r="M382" s="21"/>
      <c r="N382" s="217"/>
      <c r="O382" s="123"/>
      <c r="P382" s="123"/>
      <c r="Q382" s="123"/>
      <c r="R382" s="123"/>
      <c r="S382" s="123"/>
      <c r="T382" s="123"/>
      <c r="U382" s="123"/>
      <c r="V382" s="123"/>
      <c r="W382" s="123"/>
    </row>
    <row r="383" spans="1:23" ht="12.75">
      <c r="A383" s="367">
        <f t="shared" si="45"/>
        <v>364</v>
      </c>
      <c r="B383" s="395"/>
      <c r="C383" s="401"/>
      <c r="D383" s="402" t="s">
        <v>108</v>
      </c>
      <c r="E383" s="419" t="s">
        <v>236</v>
      </c>
      <c r="F383" s="375"/>
      <c r="G383" s="109">
        <f t="shared" si="44"/>
        <v>0</v>
      </c>
      <c r="H383" s="375">
        <f>'BVC  MS'!H382+'BVC DSP'!H383</f>
        <v>0</v>
      </c>
      <c r="I383" s="375">
        <f>'BVC  MS'!I382+'BVC DSP'!I383</f>
        <v>0</v>
      </c>
      <c r="J383" s="375">
        <f>'BVC  MS'!J382+'BVC DSP'!J383</f>
        <v>0</v>
      </c>
      <c r="K383" s="375">
        <f>'BVC  MS'!K382+'BVC DSP'!K383</f>
        <v>0</v>
      </c>
      <c r="L383" s="21"/>
      <c r="M383" s="21"/>
      <c r="N383" s="217"/>
      <c r="O383" s="123"/>
      <c r="P383" s="123"/>
      <c r="Q383" s="123"/>
      <c r="R383" s="123"/>
      <c r="S383" s="123"/>
      <c r="T383" s="123"/>
      <c r="U383" s="123"/>
      <c r="V383" s="123"/>
      <c r="W383" s="123"/>
    </row>
    <row r="384" spans="1:23" ht="12.75">
      <c r="A384" s="367">
        <f t="shared" si="45"/>
        <v>365</v>
      </c>
      <c r="B384" s="368">
        <v>70</v>
      </c>
      <c r="C384" s="368"/>
      <c r="D384" s="86"/>
      <c r="E384" s="85" t="s">
        <v>288</v>
      </c>
      <c r="F384" s="49">
        <f>+F385</f>
        <v>0</v>
      </c>
      <c r="G384" s="50">
        <f t="shared" si="44"/>
        <v>4291</v>
      </c>
      <c r="H384" s="49">
        <f>+H385</f>
        <v>1300</v>
      </c>
      <c r="I384" s="49">
        <f>+I385</f>
        <v>0</v>
      </c>
      <c r="J384" s="49">
        <f>+J385</f>
        <v>1392</v>
      </c>
      <c r="K384" s="49">
        <f>+K385</f>
        <v>1599</v>
      </c>
      <c r="L384" s="21"/>
      <c r="M384" s="21"/>
      <c r="N384" s="217">
        <v>0</v>
      </c>
      <c r="O384" s="123"/>
      <c r="P384" s="123"/>
      <c r="Q384" s="123"/>
      <c r="R384" s="123"/>
      <c r="S384" s="123"/>
      <c r="T384" s="123"/>
      <c r="U384" s="123"/>
      <c r="V384" s="123"/>
      <c r="W384" s="123"/>
    </row>
    <row r="385" spans="1:23" ht="12.75">
      <c r="A385" s="367">
        <f t="shared" si="45"/>
        <v>366</v>
      </c>
      <c r="B385" s="368">
        <v>71</v>
      </c>
      <c r="C385" s="368"/>
      <c r="D385" s="369"/>
      <c r="E385" s="85" t="s">
        <v>238</v>
      </c>
      <c r="F385" s="49">
        <f>+F386+F391</f>
        <v>0</v>
      </c>
      <c r="G385" s="50">
        <f t="shared" si="44"/>
        <v>4291</v>
      </c>
      <c r="H385" s="49">
        <f>+H386+H391</f>
        <v>1300</v>
      </c>
      <c r="I385" s="49">
        <f>+I386+I391</f>
        <v>0</v>
      </c>
      <c r="J385" s="49">
        <f>+J386+J391</f>
        <v>1392</v>
      </c>
      <c r="K385" s="124">
        <f>+K386+K391</f>
        <v>1599</v>
      </c>
      <c r="L385" s="21"/>
      <c r="M385" s="21"/>
      <c r="N385" s="217"/>
      <c r="O385" s="123"/>
      <c r="P385" s="123"/>
      <c r="Q385" s="123"/>
      <c r="R385" s="123"/>
      <c r="S385" s="123"/>
      <c r="T385" s="123"/>
      <c r="U385" s="123"/>
      <c r="V385" s="123"/>
      <c r="W385" s="123"/>
    </row>
    <row r="386" spans="1:23" ht="12.75">
      <c r="A386" s="367">
        <f t="shared" si="45"/>
        <v>367</v>
      </c>
      <c r="B386" s="368"/>
      <c r="C386" s="377" t="s">
        <v>47</v>
      </c>
      <c r="D386" s="369"/>
      <c r="E386" s="85" t="s">
        <v>77</v>
      </c>
      <c r="F386" s="49">
        <f>+F387+F388+F389+F390</f>
        <v>0</v>
      </c>
      <c r="G386" s="50">
        <f t="shared" si="44"/>
        <v>3199</v>
      </c>
      <c r="H386" s="49">
        <f>+H387+H388+H389+H390</f>
        <v>1300</v>
      </c>
      <c r="I386" s="49">
        <f>+I387+I388+I389+I390</f>
        <v>0</v>
      </c>
      <c r="J386" s="49">
        <f>+J387+J388+J389+J390</f>
        <v>300</v>
      </c>
      <c r="K386" s="124">
        <f>+K387+K388+K389+K390</f>
        <v>1599</v>
      </c>
      <c r="L386" s="21"/>
      <c r="M386" s="21"/>
      <c r="N386" s="217"/>
      <c r="O386" s="123"/>
      <c r="P386" s="123"/>
      <c r="Q386" s="123"/>
      <c r="R386" s="123"/>
      <c r="S386" s="123"/>
      <c r="T386" s="123"/>
      <c r="U386" s="123"/>
      <c r="V386" s="123"/>
      <c r="W386" s="123"/>
    </row>
    <row r="387" spans="1:23" ht="12.75">
      <c r="A387" s="367">
        <f t="shared" si="45"/>
        <v>368</v>
      </c>
      <c r="B387" s="368"/>
      <c r="C387" s="368"/>
      <c r="D387" s="379" t="s">
        <v>47</v>
      </c>
      <c r="E387" s="66" t="s">
        <v>239</v>
      </c>
      <c r="F387" s="416"/>
      <c r="G387" s="79">
        <f t="shared" si="44"/>
        <v>0</v>
      </c>
      <c r="H387" s="375">
        <f>'BVC  MS'!H386+'BVC DSP'!H387</f>
        <v>0</v>
      </c>
      <c r="I387" s="375">
        <f>'BVC  MS'!I386+'BVC DSP'!I387</f>
        <v>0</v>
      </c>
      <c r="J387" s="375">
        <f>'BVC  MS'!J386+'BVC DSP'!J387</f>
        <v>0</v>
      </c>
      <c r="K387" s="375">
        <f>'BVC  MS'!K386+'BVC DSP'!K387</f>
        <v>0</v>
      </c>
      <c r="L387" s="21"/>
      <c r="M387" s="21"/>
      <c r="N387" s="217"/>
      <c r="O387" s="123"/>
      <c r="P387" s="123"/>
      <c r="Q387" s="123"/>
      <c r="R387" s="123"/>
      <c r="S387" s="123"/>
      <c r="T387" s="123"/>
      <c r="U387" s="123"/>
      <c r="V387" s="123"/>
      <c r="W387" s="123"/>
    </row>
    <row r="388" spans="1:23" ht="12.75">
      <c r="A388" s="367">
        <f t="shared" si="45"/>
        <v>369</v>
      </c>
      <c r="B388" s="368"/>
      <c r="C388" s="368"/>
      <c r="D388" s="379" t="s">
        <v>80</v>
      </c>
      <c r="E388" s="66" t="s">
        <v>81</v>
      </c>
      <c r="F388" s="416"/>
      <c r="G388" s="79">
        <f t="shared" si="44"/>
        <v>3199</v>
      </c>
      <c r="H388" s="375">
        <f>'BVC  MS'!H387+'BVC DSP'!H388</f>
        <v>1300</v>
      </c>
      <c r="I388" s="375">
        <f>'BVC  MS'!I387+'BVC DSP'!I388</f>
        <v>0</v>
      </c>
      <c r="J388" s="375">
        <f>'BVC  MS'!J387+'BVC DSP'!J388</f>
        <v>300</v>
      </c>
      <c r="K388" s="375">
        <f>'BVC  MS'!K387+'BVC DSP'!K388</f>
        <v>1599</v>
      </c>
      <c r="L388" s="21"/>
      <c r="M388" s="21"/>
      <c r="N388" s="217"/>
      <c r="O388" s="123"/>
      <c r="P388" s="123"/>
      <c r="Q388" s="123"/>
      <c r="R388" s="123"/>
      <c r="S388" s="123"/>
      <c r="T388" s="123"/>
      <c r="U388" s="123"/>
      <c r="V388" s="123"/>
      <c r="W388" s="123"/>
    </row>
    <row r="389" spans="1:23" ht="12.75">
      <c r="A389" s="367">
        <f t="shared" si="45"/>
        <v>370</v>
      </c>
      <c r="B389" s="368"/>
      <c r="C389" s="368"/>
      <c r="D389" s="379" t="s">
        <v>84</v>
      </c>
      <c r="E389" s="66" t="s">
        <v>245</v>
      </c>
      <c r="F389" s="416"/>
      <c r="G389" s="79">
        <f t="shared" si="44"/>
        <v>0</v>
      </c>
      <c r="H389" s="375">
        <f>'BVC  MS'!H388+'BVC DSP'!H389</f>
        <v>0</v>
      </c>
      <c r="I389" s="375">
        <f>'BVC  MS'!I388+'BVC DSP'!I389</f>
        <v>0</v>
      </c>
      <c r="J389" s="375">
        <f>'BVC  MS'!J388+'BVC DSP'!J389</f>
        <v>0</v>
      </c>
      <c r="K389" s="375">
        <f>'BVC  MS'!K388+'BVC DSP'!K389</f>
        <v>0</v>
      </c>
      <c r="L389" s="21"/>
      <c r="M389" s="21"/>
      <c r="N389" s="217"/>
      <c r="O389" s="123"/>
      <c r="P389" s="123"/>
      <c r="Q389" s="123"/>
      <c r="R389" s="123"/>
      <c r="S389" s="123"/>
      <c r="T389" s="123"/>
      <c r="U389" s="123"/>
      <c r="V389" s="123"/>
      <c r="W389" s="123"/>
    </row>
    <row r="390" spans="1:23" ht="12.75">
      <c r="A390" s="367">
        <f t="shared" si="45"/>
        <v>371</v>
      </c>
      <c r="B390" s="368"/>
      <c r="C390" s="368"/>
      <c r="D390" s="369">
        <v>30</v>
      </c>
      <c r="E390" s="66" t="s">
        <v>275</v>
      </c>
      <c r="F390" s="416"/>
      <c r="G390" s="79">
        <f t="shared" si="44"/>
        <v>0</v>
      </c>
      <c r="H390" s="375">
        <f>'BVC  MS'!H389+'BVC DSP'!H390</f>
        <v>0</v>
      </c>
      <c r="I390" s="375">
        <f>'BVC  MS'!I389+'BVC DSP'!I390</f>
        <v>0</v>
      </c>
      <c r="J390" s="375">
        <f>'BVC  MS'!J389+'BVC DSP'!J390</f>
        <v>0</v>
      </c>
      <c r="K390" s="375">
        <f>'BVC  MS'!K389+'BVC DSP'!K390</f>
        <v>0</v>
      </c>
      <c r="L390" s="21"/>
      <c r="N390" s="217"/>
      <c r="O390" s="123"/>
      <c r="P390" s="123"/>
      <c r="Q390" s="123"/>
      <c r="R390" s="123"/>
      <c r="S390" s="123"/>
      <c r="T390" s="123"/>
      <c r="U390" s="123"/>
      <c r="V390" s="123"/>
      <c r="W390" s="123"/>
    </row>
    <row r="391" spans="1:23" ht="12.75">
      <c r="A391" s="367">
        <f t="shared" si="45"/>
        <v>372</v>
      </c>
      <c r="B391" s="368"/>
      <c r="C391" s="377" t="s">
        <v>84</v>
      </c>
      <c r="D391" s="369"/>
      <c r="E391" s="66" t="s">
        <v>243</v>
      </c>
      <c r="F391" s="416"/>
      <c r="G391" s="79">
        <f t="shared" si="44"/>
        <v>1092</v>
      </c>
      <c r="H391" s="375">
        <f>'BVC  MS'!H390+'BVC DSP'!H391</f>
        <v>0</v>
      </c>
      <c r="I391" s="375">
        <f>'BVC  MS'!I390+'BVC DSP'!I391</f>
        <v>0</v>
      </c>
      <c r="J391" s="375">
        <f>'BVC  MS'!J390+'BVC DSP'!J391</f>
        <v>1092</v>
      </c>
      <c r="K391" s="375">
        <f>'BVC  MS'!K390+'BVC DSP'!K391</f>
        <v>0</v>
      </c>
      <c r="L391" s="21"/>
      <c r="N391" s="217"/>
      <c r="O391" s="123"/>
      <c r="P391" s="123"/>
      <c r="Q391" s="123"/>
      <c r="R391" s="123"/>
      <c r="S391" s="123"/>
      <c r="T391" s="123"/>
      <c r="U391" s="123"/>
      <c r="V391" s="123"/>
      <c r="W391" s="123"/>
    </row>
    <row r="392" spans="1:23" ht="12.75">
      <c r="A392" s="367">
        <f t="shared" si="45"/>
        <v>373</v>
      </c>
      <c r="B392" s="368"/>
      <c r="C392" s="368"/>
      <c r="D392" s="369"/>
      <c r="E392" s="85" t="s">
        <v>244</v>
      </c>
      <c r="F392" s="49">
        <f>+F393+F394+F395</f>
        <v>0</v>
      </c>
      <c r="G392" s="50">
        <f t="shared" si="44"/>
        <v>0</v>
      </c>
      <c r="H392" s="49">
        <f>+H393+H394+H395</f>
        <v>0</v>
      </c>
      <c r="I392" s="49">
        <f>+I393+I394+I395</f>
        <v>0</v>
      </c>
      <c r="J392" s="49">
        <f>+J393+J394+J395</f>
        <v>0</v>
      </c>
      <c r="K392" s="124">
        <f>+K393+K394+K395</f>
        <v>0</v>
      </c>
      <c r="L392" s="21"/>
      <c r="N392" s="217"/>
      <c r="O392" s="123"/>
      <c r="P392" s="123"/>
      <c r="Q392" s="123"/>
      <c r="R392" s="123"/>
      <c r="S392" s="123"/>
      <c r="T392" s="123"/>
      <c r="U392" s="123"/>
      <c r="V392" s="123"/>
      <c r="W392" s="123"/>
    </row>
    <row r="393" spans="1:23" ht="12.75">
      <c r="A393" s="367">
        <f t="shared" si="45"/>
        <v>374</v>
      </c>
      <c r="B393" s="368">
        <v>71</v>
      </c>
      <c r="C393" s="377" t="s">
        <v>47</v>
      </c>
      <c r="D393" s="379" t="s">
        <v>80</v>
      </c>
      <c r="E393" s="66" t="s">
        <v>81</v>
      </c>
      <c r="F393" s="375"/>
      <c r="G393" s="79">
        <f>H393+I393+J393+K393</f>
        <v>0</v>
      </c>
      <c r="H393" s="375">
        <f>'BVC  MS'!H392+'BVC DSP'!H393</f>
        <v>0</v>
      </c>
      <c r="I393" s="375">
        <f>'BVC  MS'!I392+'BVC DSP'!I393</f>
        <v>0</v>
      </c>
      <c r="J393" s="375">
        <f>'BVC  MS'!J392+'BVC DSP'!J393</f>
        <v>0</v>
      </c>
      <c r="K393" s="375">
        <f>'BVC  MS'!K392+'BVC DSP'!K393</f>
        <v>0</v>
      </c>
      <c r="L393" s="21"/>
      <c r="N393" s="217"/>
      <c r="O393" s="123"/>
      <c r="P393" s="123"/>
      <c r="Q393" s="123"/>
      <c r="R393" s="123"/>
      <c r="S393" s="123"/>
      <c r="T393" s="123"/>
      <c r="U393" s="123"/>
      <c r="V393" s="123"/>
      <c r="W393" s="123"/>
    </row>
    <row r="394" spans="1:23" ht="12.75">
      <c r="A394" s="367">
        <f t="shared" si="45"/>
        <v>375</v>
      </c>
      <c r="B394" s="368"/>
      <c r="C394" s="368"/>
      <c r="D394" s="379" t="s">
        <v>84</v>
      </c>
      <c r="E394" s="66" t="s">
        <v>245</v>
      </c>
      <c r="F394" s="375"/>
      <c r="G394" s="79">
        <f>H394+I394+J394+K394</f>
        <v>0</v>
      </c>
      <c r="H394" s="375">
        <f>'BVC  MS'!H393+'BVC DSP'!H394</f>
        <v>0</v>
      </c>
      <c r="I394" s="375">
        <f>'BVC  MS'!I393+'BVC DSP'!I394</f>
        <v>0</v>
      </c>
      <c r="J394" s="375">
        <f>'BVC  MS'!J393+'BVC DSP'!J394</f>
        <v>0</v>
      </c>
      <c r="K394" s="375">
        <f>'BVC  MS'!K393+'BVC DSP'!K394</f>
        <v>0</v>
      </c>
      <c r="L394" s="21"/>
      <c r="N394" s="217"/>
      <c r="O394" s="123"/>
      <c r="P394" s="123"/>
      <c r="Q394" s="123"/>
      <c r="R394" s="123"/>
      <c r="S394" s="123"/>
      <c r="T394" s="123"/>
      <c r="U394" s="123"/>
      <c r="V394" s="123"/>
      <c r="W394" s="123"/>
    </row>
    <row r="395" spans="1:23" ht="12.75">
      <c r="A395" s="367">
        <f t="shared" si="45"/>
        <v>376</v>
      </c>
      <c r="B395" s="368"/>
      <c r="C395" s="368"/>
      <c r="D395" s="369">
        <v>30</v>
      </c>
      <c r="E395" s="97" t="s">
        <v>242</v>
      </c>
      <c r="F395" s="375"/>
      <c r="G395" s="79">
        <f>H395+I395+J395+K395</f>
        <v>0</v>
      </c>
      <c r="H395" s="375">
        <f>'BVC  MS'!H394+'BVC DSP'!H395</f>
        <v>0</v>
      </c>
      <c r="I395" s="375">
        <f>'BVC  MS'!I394+'BVC DSP'!I395</f>
        <v>0</v>
      </c>
      <c r="J395" s="375">
        <f>'BVC  MS'!J394+'BVC DSP'!J395</f>
        <v>0</v>
      </c>
      <c r="K395" s="375">
        <f>'BVC  MS'!K394+'BVC DSP'!K395</f>
        <v>0</v>
      </c>
      <c r="L395" s="21"/>
      <c r="N395" s="217"/>
      <c r="O395" s="123"/>
      <c r="P395" s="123"/>
      <c r="Q395" s="123"/>
      <c r="R395" s="123"/>
      <c r="S395" s="123"/>
      <c r="T395" s="123"/>
      <c r="U395" s="123"/>
      <c r="V395" s="123"/>
      <c r="W395" s="123"/>
    </row>
    <row r="396" spans="1:23" ht="12.75">
      <c r="A396" s="367">
        <f t="shared" si="45"/>
        <v>377</v>
      </c>
      <c r="B396" s="368" t="s">
        <v>18</v>
      </c>
      <c r="C396" s="368" t="s">
        <v>247</v>
      </c>
      <c r="D396" s="86" t="s">
        <v>20</v>
      </c>
      <c r="E396" s="66"/>
      <c r="F396" s="375"/>
      <c r="G396" s="79">
        <f>H396+I396+J396+K396</f>
        <v>0</v>
      </c>
      <c r="H396" s="375">
        <f>'BVC  MS'!H395+'BVC DSP'!H396</f>
        <v>0</v>
      </c>
      <c r="I396" s="375">
        <f>'BVC  MS'!I395+'BVC DSP'!I396</f>
        <v>0</v>
      </c>
      <c r="J396" s="375">
        <f>'BVC  MS'!J395+'BVC DSP'!J396</f>
        <v>0</v>
      </c>
      <c r="K396" s="375">
        <f>'BVC  MS'!K395+'BVC DSP'!K396</f>
        <v>0</v>
      </c>
      <c r="L396" s="21"/>
      <c r="N396" s="217"/>
      <c r="O396" s="123"/>
      <c r="P396" s="123"/>
      <c r="Q396" s="123"/>
      <c r="R396" s="123"/>
      <c r="S396" s="123"/>
      <c r="T396" s="123"/>
      <c r="U396" s="123"/>
      <c r="V396" s="123"/>
      <c r="W396" s="123"/>
    </row>
    <row r="397" spans="1:23" ht="12.75">
      <c r="A397" s="367">
        <f t="shared" si="45"/>
        <v>378</v>
      </c>
      <c r="B397" s="368"/>
      <c r="C397" s="368"/>
      <c r="D397" s="369"/>
      <c r="E397" s="85" t="s">
        <v>276</v>
      </c>
      <c r="F397" s="79"/>
      <c r="G397" s="79"/>
      <c r="H397" s="79"/>
      <c r="I397" s="79"/>
      <c r="J397" s="79"/>
      <c r="K397" s="393"/>
      <c r="L397" s="21"/>
      <c r="N397" s="217"/>
      <c r="O397" s="123"/>
      <c r="P397" s="123"/>
      <c r="Q397" s="123"/>
      <c r="R397" s="123"/>
      <c r="S397" s="123"/>
      <c r="T397" s="123"/>
      <c r="U397" s="123"/>
      <c r="V397" s="123"/>
      <c r="W397" s="123"/>
    </row>
    <row r="398" spans="1:23" ht="12.75">
      <c r="A398" s="367">
        <f t="shared" si="45"/>
        <v>379</v>
      </c>
      <c r="B398" s="368"/>
      <c r="C398" s="368"/>
      <c r="D398" s="369"/>
      <c r="E398" s="59" t="s">
        <v>249</v>
      </c>
      <c r="F398" s="49">
        <f>+F399+F402+F403</f>
        <v>0</v>
      </c>
      <c r="G398" s="50">
        <f aca="true" t="shared" si="48" ref="G398:G410">H398+I398+J398+K398</f>
        <v>31206</v>
      </c>
      <c r="H398" s="49">
        <f>+H399+H402+H403+H407</f>
        <v>7538</v>
      </c>
      <c r="I398" s="49">
        <f>+I399+I402+I403+I407</f>
        <v>6844</v>
      </c>
      <c r="J398" s="49">
        <f>+J399+J402+J403+J407</f>
        <v>8477</v>
      </c>
      <c r="K398" s="49">
        <f>+K399+K402+K403+K407</f>
        <v>8347</v>
      </c>
      <c r="L398" s="21"/>
      <c r="N398" s="217"/>
      <c r="O398" s="123"/>
      <c r="P398" s="123"/>
      <c r="Q398" s="123"/>
      <c r="R398" s="123"/>
      <c r="S398" s="123"/>
      <c r="T398" s="123"/>
      <c r="U398" s="123"/>
      <c r="V398" s="123"/>
      <c r="W398" s="123"/>
    </row>
    <row r="399" spans="1:23" ht="12.75">
      <c r="A399" s="367">
        <f t="shared" si="45"/>
        <v>380</v>
      </c>
      <c r="B399" s="368"/>
      <c r="C399" s="377" t="s">
        <v>108</v>
      </c>
      <c r="D399" s="369"/>
      <c r="E399" s="59" t="s">
        <v>250</v>
      </c>
      <c r="F399" s="49">
        <f>+F400+F401</f>
        <v>0</v>
      </c>
      <c r="G399" s="50">
        <f t="shared" si="48"/>
        <v>0</v>
      </c>
      <c r="H399" s="49">
        <f>+H400+H401</f>
        <v>0</v>
      </c>
      <c r="I399" s="49">
        <f>+I400+I401</f>
        <v>0</v>
      </c>
      <c r="J399" s="49">
        <f>+J400+J401</f>
        <v>0</v>
      </c>
      <c r="K399" s="124">
        <f>+K400+K401</f>
        <v>0</v>
      </c>
      <c r="L399" s="21"/>
      <c r="N399" s="217"/>
      <c r="O399" s="123"/>
      <c r="P399" s="123"/>
      <c r="Q399" s="123"/>
      <c r="R399" s="123"/>
      <c r="S399" s="123"/>
      <c r="T399" s="123"/>
      <c r="U399" s="123"/>
      <c r="V399" s="123"/>
      <c r="W399" s="123"/>
    </row>
    <row r="400" spans="1:23" ht="12.75">
      <c r="A400" s="367">
        <f t="shared" si="45"/>
        <v>381</v>
      </c>
      <c r="B400" s="368"/>
      <c r="C400" s="368"/>
      <c r="D400" s="379" t="s">
        <v>80</v>
      </c>
      <c r="E400" s="66" t="s">
        <v>251</v>
      </c>
      <c r="F400" s="375">
        <v>0</v>
      </c>
      <c r="G400" s="79">
        <f t="shared" si="48"/>
        <v>0</v>
      </c>
      <c r="H400" s="375">
        <f>'BVC  MS'!H399+'BVC DSP'!H400</f>
        <v>0</v>
      </c>
      <c r="I400" s="375">
        <f>'BVC  MS'!I399+'BVC DSP'!I400</f>
        <v>0</v>
      </c>
      <c r="J400" s="375">
        <f>'BVC  MS'!J399+'BVC DSP'!J400</f>
        <v>0</v>
      </c>
      <c r="K400" s="375">
        <f>'BVC  MS'!K399+'BVC DSP'!K400</f>
        <v>0</v>
      </c>
      <c r="L400" s="21"/>
      <c r="N400" s="217"/>
      <c r="O400" s="123"/>
      <c r="P400" s="123"/>
      <c r="Q400" s="123"/>
      <c r="R400" s="123"/>
      <c r="S400" s="123"/>
      <c r="T400" s="123"/>
      <c r="U400" s="123"/>
      <c r="V400" s="123"/>
      <c r="W400" s="123"/>
    </row>
    <row r="401" spans="1:23" ht="12.75">
      <c r="A401" s="367">
        <f t="shared" si="45"/>
        <v>382</v>
      </c>
      <c r="B401" s="368"/>
      <c r="C401" s="368"/>
      <c r="D401" s="369">
        <v>50</v>
      </c>
      <c r="E401" s="66" t="s">
        <v>278</v>
      </c>
      <c r="F401" s="375"/>
      <c r="G401" s="79">
        <f t="shared" si="48"/>
        <v>0</v>
      </c>
      <c r="H401" s="375">
        <f>'BVC  MS'!H400+'BVC DSP'!H401</f>
        <v>0</v>
      </c>
      <c r="I401" s="375">
        <f>'BVC  MS'!I400+'BVC DSP'!I401</f>
        <v>0</v>
      </c>
      <c r="J401" s="375">
        <f>'BVC  MS'!J400+'BVC DSP'!J401</f>
        <v>0</v>
      </c>
      <c r="K401" s="375">
        <f>'BVC  MS'!K400+'BVC DSP'!K401</f>
        <v>0</v>
      </c>
      <c r="L401" s="21"/>
      <c r="N401" s="217"/>
      <c r="O401" s="123"/>
      <c r="P401" s="123"/>
      <c r="Q401" s="123"/>
      <c r="R401" s="123"/>
      <c r="S401" s="123"/>
      <c r="T401" s="123"/>
      <c r="U401" s="123"/>
      <c r="V401" s="123"/>
      <c r="W401" s="123"/>
    </row>
    <row r="402" spans="1:23" ht="12.75">
      <c r="A402" s="367">
        <f t="shared" si="45"/>
        <v>383</v>
      </c>
      <c r="B402" s="368"/>
      <c r="C402" s="377" t="s">
        <v>41</v>
      </c>
      <c r="D402" s="369"/>
      <c r="E402" s="59" t="s">
        <v>253</v>
      </c>
      <c r="F402" s="375">
        <v>0</v>
      </c>
      <c r="G402" s="79">
        <f t="shared" si="48"/>
        <v>0</v>
      </c>
      <c r="H402" s="375">
        <f>'BVC  MS'!H401+'BVC DSP'!H402</f>
        <v>0</v>
      </c>
      <c r="I402" s="375">
        <f>'BVC  MS'!I401+'BVC DSP'!I402</f>
        <v>0</v>
      </c>
      <c r="J402" s="375">
        <f>'BVC  MS'!J401+'BVC DSP'!J402</f>
        <v>0</v>
      </c>
      <c r="K402" s="375">
        <f>'BVC  MS'!K401+'BVC DSP'!K402</f>
        <v>0</v>
      </c>
      <c r="L402" s="21"/>
      <c r="N402" s="217"/>
      <c r="O402" s="123"/>
      <c r="P402" s="123"/>
      <c r="Q402" s="123"/>
      <c r="R402" s="123"/>
      <c r="S402" s="123"/>
      <c r="T402" s="123"/>
      <c r="U402" s="123"/>
      <c r="V402" s="123"/>
      <c r="W402" s="123"/>
    </row>
    <row r="403" spans="1:23" ht="12.75">
      <c r="A403" s="367">
        <f t="shared" si="45"/>
        <v>384</v>
      </c>
      <c r="B403" s="368"/>
      <c r="C403" s="377" t="s">
        <v>154</v>
      </c>
      <c r="D403" s="369"/>
      <c r="E403" s="59" t="s">
        <v>289</v>
      </c>
      <c r="F403" s="49">
        <f>+F404+F405</f>
        <v>0</v>
      </c>
      <c r="G403" s="50">
        <f t="shared" si="48"/>
        <v>31206</v>
      </c>
      <c r="H403" s="49">
        <f>+H404+H405+H406</f>
        <v>7538</v>
      </c>
      <c r="I403" s="49">
        <f>+I404+I405+I406</f>
        <v>6844</v>
      </c>
      <c r="J403" s="49">
        <f>+J404+J405+J406</f>
        <v>8477</v>
      </c>
      <c r="K403" s="49">
        <f>+K404+K405+K406</f>
        <v>8347</v>
      </c>
      <c r="L403" s="21"/>
      <c r="N403" s="217"/>
      <c r="O403" s="123"/>
      <c r="P403" s="123"/>
      <c r="Q403" s="123"/>
      <c r="R403" s="123"/>
      <c r="S403" s="123"/>
      <c r="T403" s="123"/>
      <c r="U403" s="123"/>
      <c r="V403" s="123"/>
      <c r="W403" s="123"/>
    </row>
    <row r="404" spans="1:23" ht="12.75">
      <c r="A404" s="367">
        <f t="shared" si="45"/>
        <v>385</v>
      </c>
      <c r="B404" s="368"/>
      <c r="C404" s="368"/>
      <c r="D404" s="379" t="s">
        <v>47</v>
      </c>
      <c r="E404" s="66" t="s">
        <v>255</v>
      </c>
      <c r="F404" s="375"/>
      <c r="G404" s="50">
        <f t="shared" si="48"/>
        <v>31206</v>
      </c>
      <c r="H404" s="375">
        <v>7538</v>
      </c>
      <c r="I404" s="375">
        <v>6844</v>
      </c>
      <c r="J404" s="375">
        <v>8477</v>
      </c>
      <c r="K404" s="375">
        <v>8347</v>
      </c>
      <c r="L404" s="21"/>
      <c r="N404" s="217"/>
      <c r="O404" s="123"/>
      <c r="P404" s="123"/>
      <c r="Q404" s="123"/>
      <c r="R404" s="123"/>
      <c r="S404" s="123"/>
      <c r="T404" s="123"/>
      <c r="U404" s="123"/>
      <c r="V404" s="123"/>
      <c r="W404" s="123"/>
    </row>
    <row r="405" spans="1:23" ht="12.75">
      <c r="A405" s="367">
        <f t="shared" si="45"/>
        <v>386</v>
      </c>
      <c r="B405" s="368"/>
      <c r="C405" s="368"/>
      <c r="D405" s="379" t="s">
        <v>154</v>
      </c>
      <c r="E405" s="66" t="s">
        <v>256</v>
      </c>
      <c r="F405" s="375"/>
      <c r="G405" s="79">
        <f t="shared" si="48"/>
        <v>0</v>
      </c>
      <c r="H405" s="375">
        <f>'BVC  MS'!H404+'BVC DSP'!H405</f>
        <v>0</v>
      </c>
      <c r="I405" s="375">
        <f>'BVC  MS'!I404+'BVC DSP'!I405</f>
        <v>0</v>
      </c>
      <c r="J405" s="375">
        <f>'BVC  MS'!J404+'BVC DSP'!J405</f>
        <v>0</v>
      </c>
      <c r="K405" s="375">
        <f>'BVC  MS'!K404+'BVC DSP'!K405</f>
        <v>0</v>
      </c>
      <c r="L405" s="21"/>
      <c r="N405" s="217"/>
      <c r="O405" s="123"/>
      <c r="P405" s="123"/>
      <c r="Q405" s="123"/>
      <c r="R405" s="123"/>
      <c r="S405" s="123"/>
      <c r="T405" s="123"/>
      <c r="U405" s="123"/>
      <c r="V405" s="123"/>
      <c r="W405" s="123"/>
    </row>
    <row r="406" spans="1:23" ht="12.75">
      <c r="A406" s="367">
        <f t="shared" si="45"/>
        <v>387</v>
      </c>
      <c r="B406" s="368"/>
      <c r="C406" s="379">
        <v>10</v>
      </c>
      <c r="D406" s="379"/>
      <c r="E406" s="66" t="s">
        <v>290</v>
      </c>
      <c r="F406" s="375"/>
      <c r="G406" s="79">
        <f t="shared" si="48"/>
        <v>0</v>
      </c>
      <c r="H406" s="375">
        <f>'BVC  MS'!H405+'BVC DSP'!H406</f>
        <v>0</v>
      </c>
      <c r="I406" s="375">
        <f>'BVC  MS'!I405+'BVC DSP'!I406</f>
        <v>0</v>
      </c>
      <c r="J406" s="375">
        <f>'BVC  MS'!J405+'BVC DSP'!J406</f>
        <v>0</v>
      </c>
      <c r="K406" s="375">
        <f>'BVC  MS'!K405+'BVC DSP'!K406</f>
        <v>0</v>
      </c>
      <c r="L406" s="21"/>
      <c r="N406" s="217"/>
      <c r="O406" s="123"/>
      <c r="P406" s="123"/>
      <c r="Q406" s="123"/>
      <c r="R406" s="123"/>
      <c r="S406" s="123"/>
      <c r="T406" s="123"/>
      <c r="U406" s="123"/>
      <c r="V406" s="123"/>
      <c r="W406" s="123"/>
    </row>
    <row r="407" spans="1:23" ht="12.75">
      <c r="A407" s="367">
        <f t="shared" si="45"/>
        <v>388</v>
      </c>
      <c r="B407" s="368"/>
      <c r="C407" s="421">
        <v>50</v>
      </c>
      <c r="D407" s="421"/>
      <c r="E407" s="59" t="s">
        <v>291</v>
      </c>
      <c r="F407" s="168"/>
      <c r="G407" s="50">
        <f t="shared" si="48"/>
        <v>0</v>
      </c>
      <c r="H407" s="168">
        <f>H408+H409</f>
        <v>0</v>
      </c>
      <c r="I407" s="168">
        <f>I408+I409</f>
        <v>0</v>
      </c>
      <c r="J407" s="168">
        <f>J408+J409</f>
        <v>0</v>
      </c>
      <c r="K407" s="168">
        <f>K408+K409</f>
        <v>0</v>
      </c>
      <c r="L407" s="21"/>
      <c r="N407" s="217"/>
      <c r="O407" s="123"/>
      <c r="P407" s="123"/>
      <c r="Q407" s="123"/>
      <c r="R407" s="123"/>
      <c r="S407" s="123"/>
      <c r="T407" s="123"/>
      <c r="U407" s="123"/>
      <c r="V407" s="123"/>
      <c r="W407" s="123"/>
    </row>
    <row r="408" spans="1:23" ht="12.75">
      <c r="A408" s="367">
        <f t="shared" si="45"/>
        <v>389</v>
      </c>
      <c r="B408" s="368"/>
      <c r="C408" s="368"/>
      <c r="D408" s="379" t="s">
        <v>47</v>
      </c>
      <c r="E408" s="66" t="s">
        <v>259</v>
      </c>
      <c r="F408" s="375"/>
      <c r="G408" s="79">
        <f t="shared" si="48"/>
        <v>0</v>
      </c>
      <c r="H408" s="375">
        <f>'BVC  MS'!H407+'BVC DSP'!H408</f>
        <v>0</v>
      </c>
      <c r="I408" s="375">
        <f>'BVC  MS'!I407+'BVC DSP'!I408</f>
        <v>0</v>
      </c>
      <c r="J408" s="375">
        <f>'BVC  MS'!J407+'BVC DSP'!J408</f>
        <v>0</v>
      </c>
      <c r="K408" s="375">
        <f>'BVC  MS'!K407+'BVC DSP'!K408</f>
        <v>0</v>
      </c>
      <c r="L408" s="21"/>
      <c r="N408" s="217"/>
      <c r="O408" s="123"/>
      <c r="P408" s="123"/>
      <c r="Q408" s="123"/>
      <c r="R408" s="123"/>
      <c r="S408" s="123"/>
      <c r="T408" s="123"/>
      <c r="U408" s="123"/>
      <c r="V408" s="123"/>
      <c r="W408" s="123"/>
    </row>
    <row r="409" spans="1:23" ht="12.75">
      <c r="A409" s="367">
        <f t="shared" si="45"/>
        <v>390</v>
      </c>
      <c r="B409" s="368"/>
      <c r="C409" s="368"/>
      <c r="D409" s="379">
        <v>50</v>
      </c>
      <c r="E409" s="66" t="s">
        <v>292</v>
      </c>
      <c r="F409" s="375"/>
      <c r="G409" s="79">
        <f t="shared" si="48"/>
        <v>0</v>
      </c>
      <c r="H409" s="375">
        <f>'BVC  MS'!H408+'BVC DSP'!H409</f>
        <v>0</v>
      </c>
      <c r="I409" s="375">
        <f>'BVC  MS'!I408+'BVC DSP'!I409</f>
        <v>0</v>
      </c>
      <c r="J409" s="375">
        <f>'BVC  MS'!J408+'BVC DSP'!J409</f>
        <v>0</v>
      </c>
      <c r="K409" s="375">
        <f>'BVC  MS'!K408+'BVC DSP'!K409</f>
        <v>0</v>
      </c>
      <c r="L409" s="21"/>
      <c r="N409" s="217"/>
      <c r="O409" s="123"/>
      <c r="P409" s="123"/>
      <c r="Q409" s="123"/>
      <c r="R409" s="123"/>
      <c r="S409" s="123"/>
      <c r="T409" s="123"/>
      <c r="U409" s="123"/>
      <c r="V409" s="123"/>
      <c r="W409" s="123"/>
    </row>
    <row r="410" spans="1:23" ht="12.75">
      <c r="A410" s="367">
        <f>A409+1</f>
        <v>391</v>
      </c>
      <c r="B410" s="368"/>
      <c r="C410" s="368"/>
      <c r="D410" s="369"/>
      <c r="E410" s="407" t="s">
        <v>293</v>
      </c>
      <c r="F410" s="49">
        <f>+F412+F500</f>
        <v>0</v>
      </c>
      <c r="G410" s="50">
        <f t="shared" si="48"/>
        <v>7016</v>
      </c>
      <c r="H410" s="49">
        <f>+H412+H500</f>
        <v>587</v>
      </c>
      <c r="I410" s="49">
        <f>+I412+I500</f>
        <v>3603</v>
      </c>
      <c r="J410" s="49">
        <f>+J412+J500</f>
        <v>1905</v>
      </c>
      <c r="K410" s="124">
        <f>+K412+K500</f>
        <v>921</v>
      </c>
      <c r="L410" s="21">
        <v>7016</v>
      </c>
      <c r="M410">
        <v>587</v>
      </c>
      <c r="N410" s="217">
        <v>1666.7</v>
      </c>
      <c r="O410" s="123">
        <v>4891.3</v>
      </c>
      <c r="P410" s="123">
        <v>-129</v>
      </c>
      <c r="Q410" s="123"/>
      <c r="R410" s="123"/>
      <c r="S410" s="123"/>
      <c r="T410" s="123"/>
      <c r="U410" s="123"/>
      <c r="V410" s="123"/>
      <c r="W410" s="123"/>
    </row>
    <row r="411" spans="1:23" ht="12.75">
      <c r="A411" s="367"/>
      <c r="B411" s="368" t="s">
        <v>59</v>
      </c>
      <c r="C411" s="368" t="s">
        <v>60</v>
      </c>
      <c r="D411" s="86" t="s">
        <v>61</v>
      </c>
      <c r="E411" s="66"/>
      <c r="F411" s="79"/>
      <c r="G411" s="79"/>
      <c r="H411" s="79"/>
      <c r="I411" s="79"/>
      <c r="J411" s="79"/>
      <c r="K411" s="393"/>
      <c r="L411" s="21"/>
      <c r="N411" s="217"/>
      <c r="O411" s="123"/>
      <c r="P411" s="123"/>
      <c r="Q411" s="123"/>
      <c r="R411" s="123"/>
      <c r="S411" s="123"/>
      <c r="T411" s="123"/>
      <c r="U411" s="123"/>
      <c r="V411" s="123"/>
      <c r="W411" s="123"/>
    </row>
    <row r="412" spans="1:23" ht="12.75">
      <c r="A412" s="367">
        <f>A410+1</f>
        <v>392</v>
      </c>
      <c r="B412" s="368"/>
      <c r="C412" s="368"/>
      <c r="D412" s="369"/>
      <c r="E412" s="85" t="s">
        <v>136</v>
      </c>
      <c r="F412" s="49">
        <f>+F413+F447+F489+F492+F493</f>
        <v>0</v>
      </c>
      <c r="G412" s="50">
        <f aca="true" t="shared" si="49" ref="G412:G475">H412+I412+J412+K412</f>
        <v>1254</v>
      </c>
      <c r="H412" s="166">
        <f>+H413+H447+H489</f>
        <v>205</v>
      </c>
      <c r="I412" s="166">
        <f>+I413+I447</f>
        <v>365</v>
      </c>
      <c r="J412" s="166">
        <f>+J413+J447</f>
        <v>355</v>
      </c>
      <c r="K412" s="166">
        <f>+K413+K447</f>
        <v>329</v>
      </c>
      <c r="L412" s="21"/>
      <c r="N412" s="217"/>
      <c r="O412" s="123"/>
      <c r="P412" s="123"/>
      <c r="Q412" s="123"/>
      <c r="R412" s="123"/>
      <c r="S412" s="123"/>
      <c r="T412" s="123"/>
      <c r="U412" s="123"/>
      <c r="V412" s="123"/>
      <c r="W412" s="123"/>
    </row>
    <row r="413" spans="1:23" ht="12.75">
      <c r="A413" s="367">
        <f aca="true" t="shared" si="50" ref="A413:A476">A412+1</f>
        <v>393</v>
      </c>
      <c r="B413" s="368"/>
      <c r="C413" s="368">
        <v>10</v>
      </c>
      <c r="D413" s="369"/>
      <c r="E413" s="85" t="s">
        <v>263</v>
      </c>
      <c r="F413" s="49">
        <f>+F414+F432+F439</f>
        <v>0</v>
      </c>
      <c r="G413" s="50">
        <f t="shared" si="49"/>
        <v>0</v>
      </c>
      <c r="H413" s="166">
        <f>+H414+H432+H439</f>
        <v>0</v>
      </c>
      <c r="I413" s="166">
        <f>+I414+I432+I439</f>
        <v>0</v>
      </c>
      <c r="J413" s="166">
        <f>+J414+J432+J439</f>
        <v>0</v>
      </c>
      <c r="K413" s="166">
        <f>+K414+K432+K439</f>
        <v>0</v>
      </c>
      <c r="L413" s="21"/>
      <c r="N413" s="217"/>
      <c r="O413" s="123"/>
      <c r="P413" s="123"/>
      <c r="Q413" s="123"/>
      <c r="R413" s="123"/>
      <c r="S413" s="123"/>
      <c r="T413" s="123"/>
      <c r="U413" s="123"/>
      <c r="V413" s="123"/>
      <c r="W413" s="123"/>
    </row>
    <row r="414" spans="1:23" ht="12.75">
      <c r="A414" s="367">
        <f t="shared" si="50"/>
        <v>394</v>
      </c>
      <c r="B414" s="368"/>
      <c r="C414" s="377" t="s">
        <v>47</v>
      </c>
      <c r="D414" s="369"/>
      <c r="E414" s="85" t="s">
        <v>142</v>
      </c>
      <c r="F414" s="49">
        <f>+F415+F416+F417+F418+F419+F420+F421+F422+F423+F424+F425+F426+F427+F428+F429+F430+F431</f>
        <v>0</v>
      </c>
      <c r="G414" s="50">
        <f t="shared" si="49"/>
        <v>0</v>
      </c>
      <c r="H414" s="166">
        <f>+H415+H416+H417+H418+H419+H420+H421+H422+H423+H424+H425+H426+H427+H428+H429+H430+H431</f>
        <v>0</v>
      </c>
      <c r="I414" s="166">
        <f>+I415+I416+I417+I418+I419+I420+I421+I422+I423+I424+I425+I426+I427+I428+I429+I430+I431</f>
        <v>0</v>
      </c>
      <c r="J414" s="166">
        <f>+J415+J416+J417+J418+J419+J420+J421+J422+J423+J424+J425+J426+J427+J428+J429+J430+J431</f>
        <v>0</v>
      </c>
      <c r="K414" s="166">
        <f>+K415+K416+K417+K418+K419+K420+K421+K422+K423+K424+K425+K426+K427+K428+K429+K430+K431</f>
        <v>0</v>
      </c>
      <c r="L414" s="21"/>
      <c r="N414" s="217"/>
      <c r="O414" s="123"/>
      <c r="P414" s="123"/>
      <c r="Q414" s="123"/>
      <c r="R414" s="123"/>
      <c r="S414" s="123"/>
      <c r="T414" s="123"/>
      <c r="U414" s="123"/>
      <c r="V414" s="123"/>
      <c r="W414" s="123"/>
    </row>
    <row r="415" spans="1:23" ht="12.75">
      <c r="A415" s="367">
        <f t="shared" si="50"/>
        <v>395</v>
      </c>
      <c r="B415" s="368"/>
      <c r="C415" s="368"/>
      <c r="D415" s="379" t="s">
        <v>47</v>
      </c>
      <c r="E415" s="66" t="s">
        <v>144</v>
      </c>
      <c r="F415" s="375"/>
      <c r="G415" s="79">
        <f t="shared" si="49"/>
        <v>0</v>
      </c>
      <c r="H415" s="375">
        <f>'BVC  MS'!H414+'BVC DSP'!H415</f>
        <v>0</v>
      </c>
      <c r="I415" s="375">
        <f>'BVC  MS'!I414+'BVC DSP'!I415</f>
        <v>0</v>
      </c>
      <c r="J415" s="375">
        <f>'BVC  MS'!J414+'BVC DSP'!J415</f>
        <v>0</v>
      </c>
      <c r="K415" s="375">
        <f>'BVC  MS'!K414+'BVC DSP'!K415</f>
        <v>0</v>
      </c>
      <c r="L415" s="21"/>
      <c r="N415" s="217"/>
      <c r="O415" s="123"/>
      <c r="P415" s="123"/>
      <c r="Q415" s="123"/>
      <c r="R415" s="123"/>
      <c r="S415" s="123"/>
      <c r="T415" s="123"/>
      <c r="U415" s="123"/>
      <c r="V415" s="123"/>
      <c r="W415" s="123"/>
    </row>
    <row r="416" spans="1:23" ht="12.75">
      <c r="A416" s="367">
        <f t="shared" si="50"/>
        <v>396</v>
      </c>
      <c r="B416" s="368"/>
      <c r="C416" s="368"/>
      <c r="D416" s="379" t="s">
        <v>80</v>
      </c>
      <c r="E416" s="66" t="s">
        <v>146</v>
      </c>
      <c r="F416" s="375"/>
      <c r="G416" s="79">
        <f t="shared" si="49"/>
        <v>0</v>
      </c>
      <c r="H416" s="375">
        <f>'BVC  MS'!H415+'BVC DSP'!H416</f>
        <v>0</v>
      </c>
      <c r="I416" s="375">
        <f>'BVC  MS'!I415+'BVC DSP'!I416</f>
        <v>0</v>
      </c>
      <c r="J416" s="375">
        <f>'BVC  MS'!J415+'BVC DSP'!J416</f>
        <v>0</v>
      </c>
      <c r="K416" s="375">
        <f>'BVC  MS'!K415+'BVC DSP'!K416</f>
        <v>0</v>
      </c>
      <c r="L416" s="21"/>
      <c r="N416" s="217"/>
      <c r="O416" s="123"/>
      <c r="P416" s="123"/>
      <c r="Q416" s="123"/>
      <c r="R416" s="123"/>
      <c r="S416" s="123"/>
      <c r="T416" s="123"/>
      <c r="U416" s="123"/>
      <c r="V416" s="123"/>
      <c r="W416" s="123"/>
    </row>
    <row r="417" spans="1:23" ht="12.75">
      <c r="A417" s="367">
        <f t="shared" si="50"/>
        <v>397</v>
      </c>
      <c r="B417" s="368"/>
      <c r="C417" s="368"/>
      <c r="D417" s="379" t="s">
        <v>84</v>
      </c>
      <c r="E417" s="66" t="s">
        <v>148</v>
      </c>
      <c r="F417" s="375"/>
      <c r="G417" s="79">
        <f t="shared" si="49"/>
        <v>0</v>
      </c>
      <c r="H417" s="375">
        <f>'BVC  MS'!H416+'BVC DSP'!H417</f>
        <v>0</v>
      </c>
      <c r="I417" s="375">
        <f>'BVC  MS'!I416+'BVC DSP'!I417</f>
        <v>0</v>
      </c>
      <c r="J417" s="375">
        <f>'BVC  MS'!J416+'BVC DSP'!J417</f>
        <v>0</v>
      </c>
      <c r="K417" s="375">
        <f>'BVC  MS'!K416+'BVC DSP'!K417</f>
        <v>0</v>
      </c>
      <c r="L417" s="21"/>
      <c r="N417" s="217"/>
      <c r="O417" s="123"/>
      <c r="P417" s="123"/>
      <c r="Q417" s="123"/>
      <c r="R417" s="123"/>
      <c r="S417" s="123"/>
      <c r="T417" s="123"/>
      <c r="U417" s="123"/>
      <c r="V417" s="123"/>
      <c r="W417" s="123"/>
    </row>
    <row r="418" spans="1:23" ht="12.75">
      <c r="A418" s="367">
        <f t="shared" si="50"/>
        <v>398</v>
      </c>
      <c r="B418" s="368"/>
      <c r="C418" s="368"/>
      <c r="D418" s="379" t="s">
        <v>108</v>
      </c>
      <c r="E418" s="66" t="s">
        <v>150</v>
      </c>
      <c r="F418" s="375"/>
      <c r="G418" s="79">
        <f t="shared" si="49"/>
        <v>0</v>
      </c>
      <c r="H418" s="375">
        <f>'BVC  MS'!H417+'BVC DSP'!H418</f>
        <v>0</v>
      </c>
      <c r="I418" s="375">
        <f>'BVC  MS'!I417+'BVC DSP'!I418</f>
        <v>0</v>
      </c>
      <c r="J418" s="375">
        <f>'BVC  MS'!J417+'BVC DSP'!J418</f>
        <v>0</v>
      </c>
      <c r="K418" s="375">
        <f>'BVC  MS'!K417+'BVC DSP'!K418</f>
        <v>0</v>
      </c>
      <c r="L418" s="21"/>
      <c r="N418" s="217"/>
      <c r="O418" s="123"/>
      <c r="P418" s="123"/>
      <c r="Q418" s="123"/>
      <c r="R418" s="123"/>
      <c r="S418" s="123"/>
      <c r="T418" s="123"/>
      <c r="U418" s="123"/>
      <c r="V418" s="123"/>
      <c r="W418" s="123"/>
    </row>
    <row r="419" spans="1:23" ht="12.75">
      <c r="A419" s="367">
        <f t="shared" si="50"/>
        <v>399</v>
      </c>
      <c r="B419" s="368"/>
      <c r="C419" s="368"/>
      <c r="D419" s="379" t="s">
        <v>41</v>
      </c>
      <c r="E419" s="66" t="s">
        <v>152</v>
      </c>
      <c r="F419" s="375"/>
      <c r="G419" s="79">
        <f t="shared" si="49"/>
        <v>0</v>
      </c>
      <c r="H419" s="375">
        <f>'BVC  MS'!H418+'BVC DSP'!H419</f>
        <v>0</v>
      </c>
      <c r="I419" s="375">
        <f>'BVC  MS'!I418+'BVC DSP'!I419</f>
        <v>0</v>
      </c>
      <c r="J419" s="375">
        <f>'BVC  MS'!J418+'BVC DSP'!J419</f>
        <v>0</v>
      </c>
      <c r="K419" s="375">
        <f>'BVC  MS'!K418+'BVC DSP'!K419</f>
        <v>0</v>
      </c>
      <c r="L419" s="21"/>
      <c r="N419" s="217"/>
      <c r="O419" s="123"/>
      <c r="P419" s="123"/>
      <c r="Q419" s="123"/>
      <c r="R419" s="123"/>
      <c r="S419" s="123"/>
      <c r="T419" s="123"/>
      <c r="U419" s="123"/>
      <c r="V419" s="123"/>
      <c r="W419" s="123"/>
    </row>
    <row r="420" spans="1:23" ht="12.75">
      <c r="A420" s="367">
        <f t="shared" si="50"/>
        <v>400</v>
      </c>
      <c r="B420" s="368"/>
      <c r="C420" s="368"/>
      <c r="D420" s="379" t="s">
        <v>154</v>
      </c>
      <c r="E420" s="66" t="s">
        <v>155</v>
      </c>
      <c r="F420" s="375"/>
      <c r="G420" s="79">
        <f t="shared" si="49"/>
        <v>0</v>
      </c>
      <c r="H420" s="375">
        <f>'BVC  MS'!H419+'BVC DSP'!H420</f>
        <v>0</v>
      </c>
      <c r="I420" s="375">
        <f>'BVC  MS'!I419+'BVC DSP'!I420</f>
        <v>0</v>
      </c>
      <c r="J420" s="375">
        <f>'BVC  MS'!J419+'BVC DSP'!J420</f>
        <v>0</v>
      </c>
      <c r="K420" s="375">
        <f>'BVC  MS'!K419+'BVC DSP'!K420</f>
        <v>0</v>
      </c>
      <c r="L420" s="21"/>
      <c r="N420" s="217"/>
      <c r="O420" s="123"/>
      <c r="P420" s="123"/>
      <c r="Q420" s="123"/>
      <c r="R420" s="123"/>
      <c r="S420" s="123"/>
      <c r="T420" s="123"/>
      <c r="U420" s="123"/>
      <c r="V420" s="123"/>
      <c r="W420" s="123"/>
    </row>
    <row r="421" spans="1:23" ht="12.75">
      <c r="A421" s="367">
        <f t="shared" si="50"/>
        <v>401</v>
      </c>
      <c r="B421" s="368"/>
      <c r="C421" s="368"/>
      <c r="D421" s="379" t="s">
        <v>157</v>
      </c>
      <c r="E421" s="66" t="s">
        <v>158</v>
      </c>
      <c r="F421" s="375"/>
      <c r="G421" s="79">
        <f t="shared" si="49"/>
        <v>0</v>
      </c>
      <c r="H421" s="375">
        <f>'BVC  MS'!H420+'BVC DSP'!H421</f>
        <v>0</v>
      </c>
      <c r="I421" s="375">
        <f>'BVC  MS'!I420+'BVC DSP'!I421</f>
        <v>0</v>
      </c>
      <c r="J421" s="375">
        <f>'BVC  MS'!J420+'BVC DSP'!J421</f>
        <v>0</v>
      </c>
      <c r="K421" s="375">
        <f>'BVC  MS'!K420+'BVC DSP'!K421</f>
        <v>0</v>
      </c>
      <c r="L421" s="21"/>
      <c r="N421" s="217"/>
      <c r="O421" s="123"/>
      <c r="P421" s="123"/>
      <c r="Q421" s="123"/>
      <c r="R421" s="123"/>
      <c r="S421" s="123"/>
      <c r="T421" s="123"/>
      <c r="U421" s="123"/>
      <c r="V421" s="123"/>
      <c r="W421" s="123"/>
    </row>
    <row r="422" spans="1:23" ht="12.75">
      <c r="A422" s="367">
        <f t="shared" si="50"/>
        <v>402</v>
      </c>
      <c r="B422" s="368"/>
      <c r="C422" s="368"/>
      <c r="D422" s="379" t="s">
        <v>65</v>
      </c>
      <c r="E422" s="66" t="s">
        <v>159</v>
      </c>
      <c r="F422" s="375"/>
      <c r="G422" s="79">
        <f t="shared" si="49"/>
        <v>0</v>
      </c>
      <c r="H422" s="375">
        <f>'BVC  MS'!H421+'BVC DSP'!H422</f>
        <v>0</v>
      </c>
      <c r="I422" s="375">
        <f>'BVC  MS'!I421+'BVC DSP'!I422</f>
        <v>0</v>
      </c>
      <c r="J422" s="375">
        <f>'BVC  MS'!J421+'BVC DSP'!J422</f>
        <v>0</v>
      </c>
      <c r="K422" s="375">
        <f>'BVC  MS'!K421+'BVC DSP'!K422</f>
        <v>0</v>
      </c>
      <c r="L422" s="21"/>
      <c r="N422" s="217"/>
      <c r="O422" s="123"/>
      <c r="P422" s="123"/>
      <c r="Q422" s="123"/>
      <c r="R422" s="123"/>
      <c r="S422" s="123"/>
      <c r="T422" s="123"/>
      <c r="U422" s="123"/>
      <c r="V422" s="123"/>
      <c r="W422" s="123"/>
    </row>
    <row r="423" spans="1:23" ht="12.75">
      <c r="A423" s="367">
        <f t="shared" si="50"/>
        <v>403</v>
      </c>
      <c r="B423" s="368"/>
      <c r="C423" s="368"/>
      <c r="D423" s="379" t="s">
        <v>160</v>
      </c>
      <c r="E423" s="66" t="s">
        <v>264</v>
      </c>
      <c r="F423" s="375"/>
      <c r="G423" s="79">
        <f t="shared" si="49"/>
        <v>0</v>
      </c>
      <c r="H423" s="375">
        <f>'BVC  MS'!H422+'BVC DSP'!H423</f>
        <v>0</v>
      </c>
      <c r="I423" s="375">
        <f>'BVC  MS'!I422+'BVC DSP'!I423</f>
        <v>0</v>
      </c>
      <c r="J423" s="375">
        <f>'BVC  MS'!J422+'BVC DSP'!J423</f>
        <v>0</v>
      </c>
      <c r="K423" s="375">
        <f>'BVC  MS'!K422+'BVC DSP'!K423</f>
        <v>0</v>
      </c>
      <c r="L423" s="21"/>
      <c r="N423" s="217"/>
      <c r="O423" s="123"/>
      <c r="P423" s="123"/>
      <c r="Q423" s="123"/>
      <c r="R423" s="123"/>
      <c r="S423" s="123"/>
      <c r="T423" s="123"/>
      <c r="U423" s="123"/>
      <c r="V423" s="123"/>
      <c r="W423" s="123"/>
    </row>
    <row r="424" spans="1:23" ht="12.75">
      <c r="A424" s="367">
        <f t="shared" si="50"/>
        <v>404</v>
      </c>
      <c r="B424" s="368"/>
      <c r="C424" s="368"/>
      <c r="D424" s="369">
        <v>10</v>
      </c>
      <c r="E424" s="66" t="s">
        <v>162</v>
      </c>
      <c r="F424" s="375"/>
      <c r="G424" s="79">
        <f t="shared" si="49"/>
        <v>0</v>
      </c>
      <c r="H424" s="375">
        <f>'BVC  MS'!H423+'BVC DSP'!H424</f>
        <v>0</v>
      </c>
      <c r="I424" s="375">
        <f>'BVC  MS'!I423+'BVC DSP'!I424</f>
        <v>0</v>
      </c>
      <c r="J424" s="375">
        <f>'BVC  MS'!J423+'BVC DSP'!J424</f>
        <v>0</v>
      </c>
      <c r="K424" s="375">
        <f>'BVC  MS'!K423+'BVC DSP'!K424</f>
        <v>0</v>
      </c>
      <c r="L424" s="21"/>
      <c r="N424" s="217"/>
      <c r="O424" s="123"/>
      <c r="P424" s="123"/>
      <c r="Q424" s="123"/>
      <c r="R424" s="123"/>
      <c r="S424" s="123"/>
      <c r="T424" s="123"/>
      <c r="U424" s="123"/>
      <c r="V424" s="123"/>
      <c r="W424" s="123"/>
    </row>
    <row r="425" spans="1:23" ht="12.75">
      <c r="A425" s="367">
        <f t="shared" si="50"/>
        <v>405</v>
      </c>
      <c r="B425" s="368"/>
      <c r="C425" s="368"/>
      <c r="D425" s="369">
        <v>11</v>
      </c>
      <c r="E425" s="66" t="s">
        <v>163</v>
      </c>
      <c r="F425" s="375"/>
      <c r="G425" s="79">
        <f t="shared" si="49"/>
        <v>0</v>
      </c>
      <c r="H425" s="375">
        <f>'BVC  MS'!H424+'BVC DSP'!H425</f>
        <v>0</v>
      </c>
      <c r="I425" s="375">
        <f>'BVC  MS'!I424+'BVC DSP'!I425</f>
        <v>0</v>
      </c>
      <c r="J425" s="375">
        <f>'BVC  MS'!J424+'BVC DSP'!J425</f>
        <v>0</v>
      </c>
      <c r="K425" s="375">
        <f>'BVC  MS'!K424+'BVC DSP'!K425</f>
        <v>0</v>
      </c>
      <c r="L425" s="21"/>
      <c r="N425" s="217"/>
      <c r="O425" s="123"/>
      <c r="P425" s="123"/>
      <c r="Q425" s="123"/>
      <c r="R425" s="123"/>
      <c r="S425" s="123"/>
      <c r="T425" s="123"/>
      <c r="U425" s="123"/>
      <c r="V425" s="123"/>
      <c r="W425" s="123"/>
    </row>
    <row r="426" spans="1:23" ht="12.75">
      <c r="A426" s="367">
        <f t="shared" si="50"/>
        <v>406</v>
      </c>
      <c r="B426" s="368"/>
      <c r="C426" s="368"/>
      <c r="D426" s="369">
        <v>12</v>
      </c>
      <c r="E426" s="66" t="s">
        <v>164</v>
      </c>
      <c r="F426" s="375"/>
      <c r="G426" s="79">
        <f t="shared" si="49"/>
        <v>0</v>
      </c>
      <c r="H426" s="375">
        <f>'BVC  MS'!H425+'BVC DSP'!H426</f>
        <v>0</v>
      </c>
      <c r="I426" s="375">
        <f>'BVC  MS'!I425+'BVC DSP'!I426</f>
        <v>0</v>
      </c>
      <c r="J426" s="375">
        <f>'BVC  MS'!J425+'BVC DSP'!J426</f>
        <v>0</v>
      </c>
      <c r="K426" s="375">
        <f>'BVC  MS'!K425+'BVC DSP'!K426</f>
        <v>0</v>
      </c>
      <c r="L426" s="21"/>
      <c r="N426" s="217"/>
      <c r="O426" s="123"/>
      <c r="P426" s="123"/>
      <c r="Q426" s="123"/>
      <c r="R426" s="123"/>
      <c r="S426" s="123"/>
      <c r="T426" s="123"/>
      <c r="U426" s="123"/>
      <c r="V426" s="123"/>
      <c r="W426" s="123"/>
    </row>
    <row r="427" spans="1:23" ht="12.75">
      <c r="A427" s="367">
        <f t="shared" si="50"/>
        <v>407</v>
      </c>
      <c r="B427" s="368"/>
      <c r="C427" s="368"/>
      <c r="D427" s="369">
        <v>13</v>
      </c>
      <c r="E427" s="66" t="s">
        <v>165</v>
      </c>
      <c r="F427" s="375"/>
      <c r="G427" s="79">
        <f t="shared" si="49"/>
        <v>0</v>
      </c>
      <c r="H427" s="375">
        <f>'BVC  MS'!H426+'BVC DSP'!H427</f>
        <v>0</v>
      </c>
      <c r="I427" s="375">
        <f>'BVC  MS'!I426+'BVC DSP'!I427</f>
        <v>0</v>
      </c>
      <c r="J427" s="375">
        <f>'BVC  MS'!J426+'BVC DSP'!J427</f>
        <v>0</v>
      </c>
      <c r="K427" s="375">
        <f>'BVC  MS'!K426+'BVC DSP'!K427</f>
        <v>0</v>
      </c>
      <c r="L427" s="21"/>
      <c r="N427" s="217"/>
      <c r="O427" s="123"/>
      <c r="P427" s="123"/>
      <c r="Q427" s="123"/>
      <c r="R427" s="123"/>
      <c r="S427" s="123"/>
      <c r="T427" s="123"/>
      <c r="U427" s="123"/>
      <c r="V427" s="123"/>
      <c r="W427" s="123"/>
    </row>
    <row r="428" spans="1:23" ht="12.75">
      <c r="A428" s="367">
        <f t="shared" si="50"/>
        <v>408</v>
      </c>
      <c r="B428" s="368"/>
      <c r="C428" s="368"/>
      <c r="D428" s="369">
        <v>14</v>
      </c>
      <c r="E428" s="66" t="s">
        <v>166</v>
      </c>
      <c r="F428" s="375"/>
      <c r="G428" s="79">
        <f t="shared" si="49"/>
        <v>0</v>
      </c>
      <c r="H428" s="375">
        <f>'BVC  MS'!H427+'BVC DSP'!H428</f>
        <v>0</v>
      </c>
      <c r="I428" s="375">
        <f>'BVC  MS'!I427+'BVC DSP'!I428</f>
        <v>0</v>
      </c>
      <c r="J428" s="375">
        <f>'BVC  MS'!J427+'BVC DSP'!J428</f>
        <v>0</v>
      </c>
      <c r="K428" s="375">
        <f>'BVC  MS'!K427+'BVC DSP'!K428</f>
        <v>0</v>
      </c>
      <c r="L428" s="21"/>
      <c r="N428" s="217"/>
      <c r="O428" s="123"/>
      <c r="P428" s="123"/>
      <c r="Q428" s="123"/>
      <c r="R428" s="123"/>
      <c r="S428" s="123"/>
      <c r="T428" s="123"/>
      <c r="U428" s="123"/>
      <c r="V428" s="123"/>
      <c r="W428" s="123"/>
    </row>
    <row r="429" spans="1:23" ht="12.75">
      <c r="A429" s="367">
        <f t="shared" si="50"/>
        <v>409</v>
      </c>
      <c r="B429" s="368"/>
      <c r="C429" s="368"/>
      <c r="D429" s="369">
        <v>15</v>
      </c>
      <c r="E429" s="66" t="s">
        <v>167</v>
      </c>
      <c r="F429" s="375"/>
      <c r="G429" s="79">
        <f t="shared" si="49"/>
        <v>0</v>
      </c>
      <c r="H429" s="375">
        <f>'BVC  MS'!H428+'BVC DSP'!H429</f>
        <v>0</v>
      </c>
      <c r="I429" s="375">
        <f>'BVC  MS'!I428+'BVC DSP'!I429</f>
        <v>0</v>
      </c>
      <c r="J429" s="375">
        <f>'BVC  MS'!J428+'BVC DSP'!J429</f>
        <v>0</v>
      </c>
      <c r="K429" s="375">
        <f>'BVC  MS'!K428+'BVC DSP'!K429</f>
        <v>0</v>
      </c>
      <c r="L429" s="21"/>
      <c r="N429" s="217"/>
      <c r="O429" s="123"/>
      <c r="P429" s="123"/>
      <c r="Q429" s="123"/>
      <c r="R429" s="123"/>
      <c r="S429" s="123"/>
      <c r="T429" s="123"/>
      <c r="U429" s="123"/>
      <c r="V429" s="123"/>
      <c r="W429" s="123"/>
    </row>
    <row r="430" spans="1:23" ht="12.75">
      <c r="A430" s="367">
        <f t="shared" si="50"/>
        <v>410</v>
      </c>
      <c r="B430" s="368"/>
      <c r="C430" s="368"/>
      <c r="D430" s="369">
        <v>16</v>
      </c>
      <c r="E430" s="66" t="s">
        <v>168</v>
      </c>
      <c r="F430" s="375"/>
      <c r="G430" s="79">
        <f t="shared" si="49"/>
        <v>0</v>
      </c>
      <c r="H430" s="375">
        <f>'BVC  MS'!H429+'BVC DSP'!H430</f>
        <v>0</v>
      </c>
      <c r="I430" s="375">
        <f>'BVC  MS'!I429+'BVC DSP'!I430</f>
        <v>0</v>
      </c>
      <c r="J430" s="375">
        <f>'BVC  MS'!J429+'BVC DSP'!J430</f>
        <v>0</v>
      </c>
      <c r="K430" s="375">
        <f>'BVC  MS'!K429+'BVC DSP'!K430</f>
        <v>0</v>
      </c>
      <c r="L430" s="21"/>
      <c r="N430" s="217"/>
      <c r="O430" s="123"/>
      <c r="P430" s="123"/>
      <c r="Q430" s="123"/>
      <c r="R430" s="123"/>
      <c r="S430" s="123"/>
      <c r="T430" s="123"/>
      <c r="U430" s="123"/>
      <c r="V430" s="123"/>
      <c r="W430" s="123"/>
    </row>
    <row r="431" spans="1:23" ht="12.75">
      <c r="A431" s="367">
        <f t="shared" si="50"/>
        <v>411</v>
      </c>
      <c r="B431" s="368"/>
      <c r="C431" s="368"/>
      <c r="D431" s="369">
        <v>30</v>
      </c>
      <c r="E431" s="66" t="s">
        <v>169</v>
      </c>
      <c r="F431" s="375"/>
      <c r="G431" s="79">
        <f t="shared" si="49"/>
        <v>0</v>
      </c>
      <c r="H431" s="375">
        <f>'BVC  MS'!H430+'BVC DSP'!H431</f>
        <v>0</v>
      </c>
      <c r="I431" s="375">
        <f>'BVC  MS'!I430+'BVC DSP'!I431</f>
        <v>0</v>
      </c>
      <c r="J431" s="375">
        <f>'BVC  MS'!J430+'BVC DSP'!J431</f>
        <v>0</v>
      </c>
      <c r="K431" s="375">
        <f>'BVC  MS'!K430+'BVC DSP'!K431</f>
        <v>0</v>
      </c>
      <c r="L431" s="21"/>
      <c r="N431" s="217"/>
      <c r="O431" s="123"/>
      <c r="P431" s="123"/>
      <c r="Q431" s="123"/>
      <c r="R431" s="123"/>
      <c r="S431" s="123"/>
      <c r="T431" s="123"/>
      <c r="U431" s="123"/>
      <c r="V431" s="123"/>
      <c r="W431" s="123"/>
    </row>
    <row r="432" spans="1:23" ht="12.75">
      <c r="A432" s="367">
        <f t="shared" si="50"/>
        <v>412</v>
      </c>
      <c r="B432" s="368"/>
      <c r="C432" s="377" t="s">
        <v>80</v>
      </c>
      <c r="D432" s="369"/>
      <c r="E432" s="85" t="s">
        <v>170</v>
      </c>
      <c r="F432" s="49">
        <f>+F433+F434+F435+F436+F437+F438</f>
        <v>0</v>
      </c>
      <c r="G432" s="50">
        <f t="shared" si="49"/>
        <v>0</v>
      </c>
      <c r="H432" s="166">
        <f>+H433+H434+H435+H436+H437+H438</f>
        <v>0</v>
      </c>
      <c r="I432" s="166">
        <f>+I433+I434+I435+I436+I437+I438</f>
        <v>0</v>
      </c>
      <c r="J432" s="166">
        <f>+J433+J434+J435+J436+J437+J438</f>
        <v>0</v>
      </c>
      <c r="K432" s="166">
        <f>+K433+K434+K435+K436+K437+K438</f>
        <v>0</v>
      </c>
      <c r="L432" s="21"/>
      <c r="N432" s="217"/>
      <c r="O432" s="123"/>
      <c r="P432" s="123"/>
      <c r="Q432" s="123"/>
      <c r="R432" s="123"/>
      <c r="S432" s="123"/>
      <c r="T432" s="123"/>
      <c r="U432" s="123"/>
      <c r="V432" s="123"/>
      <c r="W432" s="123"/>
    </row>
    <row r="433" spans="1:23" ht="12.75">
      <c r="A433" s="367">
        <f t="shared" si="50"/>
        <v>413</v>
      </c>
      <c r="B433" s="368"/>
      <c r="C433" s="368"/>
      <c r="D433" s="379" t="s">
        <v>47</v>
      </c>
      <c r="E433" s="66" t="s">
        <v>265</v>
      </c>
      <c r="F433" s="375"/>
      <c r="G433" s="79">
        <f t="shared" si="49"/>
        <v>0</v>
      </c>
      <c r="H433" s="375">
        <f>'BVC  MS'!H432+'BVC DSP'!H433</f>
        <v>0</v>
      </c>
      <c r="I433" s="375">
        <f>'BVC  MS'!I432+'BVC DSP'!I433</f>
        <v>0</v>
      </c>
      <c r="J433" s="375">
        <f>'BVC  MS'!J432+'BVC DSP'!J433</f>
        <v>0</v>
      </c>
      <c r="K433" s="375">
        <f>'BVC  MS'!K432+'BVC DSP'!K433</f>
        <v>0</v>
      </c>
      <c r="L433" s="21"/>
      <c r="N433" s="217"/>
      <c r="O433" s="123"/>
      <c r="P433" s="123"/>
      <c r="Q433" s="123"/>
      <c r="R433" s="123"/>
      <c r="S433" s="123"/>
      <c r="T433" s="123"/>
      <c r="U433" s="123"/>
      <c r="V433" s="123"/>
      <c r="W433" s="123"/>
    </row>
    <row r="434" spans="1:23" ht="12.75">
      <c r="A434" s="367">
        <f t="shared" si="50"/>
        <v>414</v>
      </c>
      <c r="B434" s="368"/>
      <c r="C434" s="368"/>
      <c r="D434" s="379" t="s">
        <v>80</v>
      </c>
      <c r="E434" s="66" t="s">
        <v>266</v>
      </c>
      <c r="F434" s="375"/>
      <c r="G434" s="79">
        <f t="shared" si="49"/>
        <v>0</v>
      </c>
      <c r="H434" s="375">
        <f>'BVC  MS'!H433+'BVC DSP'!H434</f>
        <v>0</v>
      </c>
      <c r="I434" s="375">
        <f>'BVC  MS'!I433+'BVC DSP'!I434</f>
        <v>0</v>
      </c>
      <c r="J434" s="375">
        <f>'BVC  MS'!J433+'BVC DSP'!J434</f>
        <v>0</v>
      </c>
      <c r="K434" s="375">
        <f>'BVC  MS'!K433+'BVC DSP'!K434</f>
        <v>0</v>
      </c>
      <c r="L434" s="21"/>
      <c r="N434" s="217"/>
      <c r="O434" s="123"/>
      <c r="P434" s="123"/>
      <c r="Q434" s="123"/>
      <c r="R434" s="123"/>
      <c r="S434" s="123"/>
      <c r="T434" s="123"/>
      <c r="U434" s="123"/>
      <c r="V434" s="123"/>
      <c r="W434" s="123"/>
    </row>
    <row r="435" spans="1:23" ht="12.75">
      <c r="A435" s="367">
        <f t="shared" si="50"/>
        <v>415</v>
      </c>
      <c r="B435" s="368"/>
      <c r="C435" s="368"/>
      <c r="D435" s="379" t="s">
        <v>84</v>
      </c>
      <c r="E435" s="66" t="s">
        <v>173</v>
      </c>
      <c r="F435" s="375"/>
      <c r="G435" s="79">
        <f t="shared" si="49"/>
        <v>0</v>
      </c>
      <c r="H435" s="375">
        <f>'BVC  MS'!H434+'BVC DSP'!H435</f>
        <v>0</v>
      </c>
      <c r="I435" s="375">
        <f>'BVC  MS'!I434+'BVC DSP'!I435</f>
        <v>0</v>
      </c>
      <c r="J435" s="375">
        <f>'BVC  MS'!J434+'BVC DSP'!J435</f>
        <v>0</v>
      </c>
      <c r="K435" s="375">
        <f>'BVC  MS'!K434+'BVC DSP'!K435</f>
        <v>0</v>
      </c>
      <c r="L435" s="21"/>
      <c r="N435" s="217"/>
      <c r="O435" s="123"/>
      <c r="P435" s="123"/>
      <c r="Q435" s="123"/>
      <c r="R435" s="123"/>
      <c r="S435" s="123"/>
      <c r="T435" s="123"/>
      <c r="U435" s="123"/>
      <c r="V435" s="123"/>
      <c r="W435" s="123"/>
    </row>
    <row r="436" spans="1:23" ht="12.75">
      <c r="A436" s="367">
        <f t="shared" si="50"/>
        <v>416</v>
      </c>
      <c r="B436" s="368"/>
      <c r="C436" s="368"/>
      <c r="D436" s="379" t="s">
        <v>108</v>
      </c>
      <c r="E436" s="66" t="s">
        <v>267</v>
      </c>
      <c r="F436" s="375"/>
      <c r="G436" s="79">
        <f t="shared" si="49"/>
        <v>0</v>
      </c>
      <c r="H436" s="375">
        <f>'BVC  MS'!H435+'BVC DSP'!H436</f>
        <v>0</v>
      </c>
      <c r="I436" s="375">
        <f>'BVC  MS'!I435+'BVC DSP'!I436</f>
        <v>0</v>
      </c>
      <c r="J436" s="375">
        <f>'BVC  MS'!J435+'BVC DSP'!J436</f>
        <v>0</v>
      </c>
      <c r="K436" s="375">
        <f>'BVC  MS'!K435+'BVC DSP'!K436</f>
        <v>0</v>
      </c>
      <c r="L436" s="21"/>
      <c r="N436" s="217"/>
      <c r="O436" s="123"/>
      <c r="P436" s="123"/>
      <c r="Q436" s="123"/>
      <c r="R436" s="123"/>
      <c r="S436" s="123"/>
      <c r="T436" s="123"/>
      <c r="U436" s="123"/>
      <c r="V436" s="123"/>
      <c r="W436" s="123"/>
    </row>
    <row r="437" spans="1:23" ht="12.75">
      <c r="A437" s="367">
        <f t="shared" si="50"/>
        <v>417</v>
      </c>
      <c r="B437" s="368"/>
      <c r="C437" s="368"/>
      <c r="D437" s="379" t="s">
        <v>41</v>
      </c>
      <c r="E437" s="66" t="s">
        <v>268</v>
      </c>
      <c r="F437" s="375"/>
      <c r="G437" s="79">
        <f t="shared" si="49"/>
        <v>0</v>
      </c>
      <c r="H437" s="375">
        <f>'BVC  MS'!H436+'BVC DSP'!H437</f>
        <v>0</v>
      </c>
      <c r="I437" s="375">
        <f>'BVC  MS'!I436+'BVC DSP'!I437</f>
        <v>0</v>
      </c>
      <c r="J437" s="375">
        <f>'BVC  MS'!J436+'BVC DSP'!J437</f>
        <v>0</v>
      </c>
      <c r="K437" s="375">
        <f>'BVC  MS'!K436+'BVC DSP'!K437</f>
        <v>0</v>
      </c>
      <c r="L437" s="21"/>
      <c r="N437" s="217"/>
      <c r="O437" s="123"/>
      <c r="P437" s="123"/>
      <c r="Q437" s="123"/>
      <c r="R437" s="123"/>
      <c r="S437" s="123"/>
      <c r="T437" s="123"/>
      <c r="U437" s="123"/>
      <c r="V437" s="123"/>
      <c r="W437" s="123"/>
    </row>
    <row r="438" spans="1:23" ht="12.75">
      <c r="A438" s="367">
        <f t="shared" si="50"/>
        <v>418</v>
      </c>
      <c r="B438" s="368"/>
      <c r="C438" s="368"/>
      <c r="D438" s="369">
        <v>30</v>
      </c>
      <c r="E438" s="66" t="s">
        <v>176</v>
      </c>
      <c r="F438" s="375"/>
      <c r="G438" s="79">
        <f t="shared" si="49"/>
        <v>0</v>
      </c>
      <c r="H438" s="375">
        <f>'BVC  MS'!H437+'BVC DSP'!H438</f>
        <v>0</v>
      </c>
      <c r="I438" s="375">
        <f>'BVC  MS'!I437+'BVC DSP'!I438</f>
        <v>0</v>
      </c>
      <c r="J438" s="375">
        <f>'BVC  MS'!J437+'BVC DSP'!J438</f>
        <v>0</v>
      </c>
      <c r="K438" s="375">
        <f>'BVC  MS'!K437+'BVC DSP'!K438</f>
        <v>0</v>
      </c>
      <c r="L438" s="21"/>
      <c r="N438" s="217"/>
      <c r="O438" s="123"/>
      <c r="P438" s="123"/>
      <c r="Q438" s="123"/>
      <c r="R438" s="123"/>
      <c r="S438" s="123"/>
      <c r="T438" s="123"/>
      <c r="U438" s="123"/>
      <c r="V438" s="123"/>
      <c r="W438" s="123"/>
    </row>
    <row r="439" spans="1:23" ht="12.75">
      <c r="A439" s="367">
        <f t="shared" si="50"/>
        <v>419</v>
      </c>
      <c r="B439" s="368"/>
      <c r="C439" s="377" t="s">
        <v>84</v>
      </c>
      <c r="D439" s="369"/>
      <c r="E439" s="85" t="s">
        <v>177</v>
      </c>
      <c r="F439" s="49">
        <f>+F440+F441+F442+F443+F444+F445+F446</f>
        <v>0</v>
      </c>
      <c r="G439" s="50">
        <f t="shared" si="49"/>
        <v>0</v>
      </c>
      <c r="H439" s="166">
        <f>+H440+H441+H442+H443+H444+H445+H446</f>
        <v>0</v>
      </c>
      <c r="I439" s="166">
        <f>+I440+I441+I442+I443+I444+I445+I446</f>
        <v>0</v>
      </c>
      <c r="J439" s="166">
        <f>+J440+J441+J442+J443+J444+J445+J446</f>
        <v>0</v>
      </c>
      <c r="K439" s="166">
        <f>+K440+K441+K442+K443+K444+K445+K446</f>
        <v>0</v>
      </c>
      <c r="L439" s="21"/>
      <c r="N439" s="217"/>
      <c r="O439" s="123"/>
      <c r="P439" s="123"/>
      <c r="Q439" s="123"/>
      <c r="R439" s="123"/>
      <c r="S439" s="123"/>
      <c r="T439" s="123"/>
      <c r="U439" s="123"/>
      <c r="V439" s="123"/>
      <c r="W439" s="123"/>
    </row>
    <row r="440" spans="1:23" ht="12.75">
      <c r="A440" s="367">
        <f t="shared" si="50"/>
        <v>420</v>
      </c>
      <c r="B440" s="368"/>
      <c r="C440" s="368"/>
      <c r="D440" s="379" t="s">
        <v>47</v>
      </c>
      <c r="E440" s="66" t="s">
        <v>178</v>
      </c>
      <c r="F440" s="375"/>
      <c r="G440" s="79">
        <f t="shared" si="49"/>
        <v>0</v>
      </c>
      <c r="H440" s="375">
        <f>'BVC  MS'!H439+'BVC DSP'!H440</f>
        <v>0</v>
      </c>
      <c r="I440" s="375">
        <f>'BVC  MS'!I439+'BVC DSP'!I440</f>
        <v>0</v>
      </c>
      <c r="J440" s="375">
        <f>'BVC  MS'!J439+'BVC DSP'!J440</f>
        <v>0</v>
      </c>
      <c r="K440" s="375">
        <f>'BVC  MS'!K439+'BVC DSP'!K440</f>
        <v>0</v>
      </c>
      <c r="L440" s="21"/>
      <c r="N440" s="217"/>
      <c r="O440" s="123"/>
      <c r="P440" s="123"/>
      <c r="Q440" s="123"/>
      <c r="R440" s="123"/>
      <c r="S440" s="123"/>
      <c r="T440" s="123"/>
      <c r="U440" s="123"/>
      <c r="V440" s="123"/>
      <c r="W440" s="123"/>
    </row>
    <row r="441" spans="1:23" ht="12.75">
      <c r="A441" s="367">
        <f t="shared" si="50"/>
        <v>421</v>
      </c>
      <c r="B441" s="368"/>
      <c r="C441" s="368"/>
      <c r="D441" s="379" t="s">
        <v>80</v>
      </c>
      <c r="E441" s="66" t="s">
        <v>179</v>
      </c>
      <c r="F441" s="375"/>
      <c r="G441" s="79">
        <f t="shared" si="49"/>
        <v>0</v>
      </c>
      <c r="H441" s="375">
        <f>'BVC  MS'!H440+'BVC DSP'!H441</f>
        <v>0</v>
      </c>
      <c r="I441" s="375">
        <f>'BVC  MS'!I440+'BVC DSP'!I441</f>
        <v>0</v>
      </c>
      <c r="J441" s="375">
        <f>'BVC  MS'!J440+'BVC DSP'!J441</f>
        <v>0</v>
      </c>
      <c r="K441" s="375">
        <f>'BVC  MS'!K440+'BVC DSP'!K441</f>
        <v>0</v>
      </c>
      <c r="L441" s="21"/>
      <c r="N441" s="217"/>
      <c r="O441" s="123"/>
      <c r="P441" s="123"/>
      <c r="Q441" s="123"/>
      <c r="R441" s="123"/>
      <c r="S441" s="123"/>
      <c r="T441" s="123"/>
      <c r="U441" s="123"/>
      <c r="V441" s="123"/>
      <c r="W441" s="123"/>
    </row>
    <row r="442" spans="1:23" ht="12.75">
      <c r="A442" s="367">
        <f t="shared" si="50"/>
        <v>422</v>
      </c>
      <c r="B442" s="368"/>
      <c r="C442" s="368"/>
      <c r="D442" s="379" t="s">
        <v>84</v>
      </c>
      <c r="E442" s="66" t="s">
        <v>180</v>
      </c>
      <c r="F442" s="375"/>
      <c r="G442" s="79">
        <f t="shared" si="49"/>
        <v>0</v>
      </c>
      <c r="H442" s="375">
        <f>'BVC  MS'!H441+'BVC DSP'!H442</f>
        <v>0</v>
      </c>
      <c r="I442" s="375">
        <f>'BVC  MS'!I441+'BVC DSP'!I442</f>
        <v>0</v>
      </c>
      <c r="J442" s="375">
        <f>'BVC  MS'!J441+'BVC DSP'!J442</f>
        <v>0</v>
      </c>
      <c r="K442" s="375">
        <f>'BVC  MS'!K441+'BVC DSP'!K442</f>
        <v>0</v>
      </c>
      <c r="L442" s="21"/>
      <c r="N442" s="217"/>
      <c r="O442" s="123"/>
      <c r="P442" s="123"/>
      <c r="Q442" s="123"/>
      <c r="R442" s="123"/>
      <c r="S442" s="123"/>
      <c r="T442" s="123"/>
      <c r="U442" s="123"/>
      <c r="V442" s="123"/>
      <c r="W442" s="123"/>
    </row>
    <row r="443" spans="1:23" ht="12.75">
      <c r="A443" s="367">
        <f t="shared" si="50"/>
        <v>423</v>
      </c>
      <c r="B443" s="368"/>
      <c r="C443" s="368"/>
      <c r="D443" s="379" t="s">
        <v>108</v>
      </c>
      <c r="E443" s="66" t="s">
        <v>269</v>
      </c>
      <c r="F443" s="375"/>
      <c r="G443" s="79">
        <f t="shared" si="49"/>
        <v>0</v>
      </c>
      <c r="H443" s="375">
        <f>'BVC  MS'!H442+'BVC DSP'!H443</f>
        <v>0</v>
      </c>
      <c r="I443" s="375">
        <f>'BVC  MS'!I442+'BVC DSP'!I443</f>
        <v>0</v>
      </c>
      <c r="J443" s="375">
        <f>'BVC  MS'!J442+'BVC DSP'!J443</f>
        <v>0</v>
      </c>
      <c r="K443" s="375">
        <f>'BVC  MS'!K442+'BVC DSP'!K443</f>
        <v>0</v>
      </c>
      <c r="L443" s="21"/>
      <c r="N443" s="217"/>
      <c r="O443" s="123"/>
      <c r="P443" s="123"/>
      <c r="Q443" s="123"/>
      <c r="R443" s="123"/>
      <c r="S443" s="123"/>
      <c r="T443" s="123"/>
      <c r="U443" s="123"/>
      <c r="V443" s="123"/>
      <c r="W443" s="123"/>
    </row>
    <row r="444" spans="1:23" ht="12.75">
      <c r="A444" s="367">
        <f t="shared" si="50"/>
        <v>424</v>
      </c>
      <c r="B444" s="368"/>
      <c r="C444" s="368"/>
      <c r="D444" s="379" t="s">
        <v>41</v>
      </c>
      <c r="E444" s="66" t="s">
        <v>182</v>
      </c>
      <c r="F444" s="375"/>
      <c r="G444" s="79">
        <f t="shared" si="49"/>
        <v>0</v>
      </c>
      <c r="H444" s="375">
        <f>'BVC  MS'!H443+'BVC DSP'!H444</f>
        <v>0</v>
      </c>
      <c r="I444" s="375">
        <f>'BVC  MS'!I443+'BVC DSP'!I444</f>
        <v>0</v>
      </c>
      <c r="J444" s="375">
        <f>'BVC  MS'!J443+'BVC DSP'!J444</f>
        <v>0</v>
      </c>
      <c r="K444" s="375">
        <f>'BVC  MS'!K443+'BVC DSP'!K444</f>
        <v>0</v>
      </c>
      <c r="L444" s="21"/>
      <c r="N444" s="217"/>
      <c r="O444" s="123"/>
      <c r="P444" s="123"/>
      <c r="Q444" s="123"/>
      <c r="R444" s="123"/>
      <c r="S444" s="123"/>
      <c r="T444" s="123"/>
      <c r="U444" s="123"/>
      <c r="V444" s="123"/>
      <c r="W444" s="123"/>
    </row>
    <row r="445" spans="1:23" ht="12.75">
      <c r="A445" s="367">
        <f t="shared" si="50"/>
        <v>425</v>
      </c>
      <c r="B445" s="368"/>
      <c r="C445" s="368"/>
      <c r="D445" s="379" t="s">
        <v>154</v>
      </c>
      <c r="E445" s="66" t="s">
        <v>183</v>
      </c>
      <c r="F445" s="375"/>
      <c r="G445" s="79">
        <f t="shared" si="49"/>
        <v>0</v>
      </c>
      <c r="H445" s="375">
        <f>'BVC  MS'!H444+'BVC DSP'!H445</f>
        <v>0</v>
      </c>
      <c r="I445" s="375">
        <f>'BVC  MS'!I444+'BVC DSP'!I445</f>
        <v>0</v>
      </c>
      <c r="J445" s="375">
        <f>'BVC  MS'!J444+'BVC DSP'!J445</f>
        <v>0</v>
      </c>
      <c r="K445" s="375">
        <f>'BVC  MS'!K444+'BVC DSP'!K445</f>
        <v>0</v>
      </c>
      <c r="L445" s="21"/>
      <c r="N445" s="217"/>
      <c r="O445" s="123"/>
      <c r="P445" s="123"/>
      <c r="Q445" s="123"/>
      <c r="R445" s="123"/>
      <c r="S445" s="123"/>
      <c r="T445" s="123"/>
      <c r="U445" s="123"/>
      <c r="V445" s="123"/>
      <c r="W445" s="123"/>
    </row>
    <row r="446" spans="1:23" ht="12.75">
      <c r="A446" s="367">
        <f t="shared" si="50"/>
        <v>426</v>
      </c>
      <c r="B446" s="368"/>
      <c r="C446" s="368"/>
      <c r="D446" s="379" t="s">
        <v>157</v>
      </c>
      <c r="E446" s="66" t="s">
        <v>184</v>
      </c>
      <c r="F446" s="375"/>
      <c r="G446" s="79">
        <f t="shared" si="49"/>
        <v>0</v>
      </c>
      <c r="H446" s="375">
        <f>'BVC  MS'!H445+'BVC DSP'!H446</f>
        <v>0</v>
      </c>
      <c r="I446" s="375">
        <f>'BVC  MS'!I445+'BVC DSP'!I446</f>
        <v>0</v>
      </c>
      <c r="J446" s="375">
        <f>'BVC  MS'!J445+'BVC DSP'!J446</f>
        <v>0</v>
      </c>
      <c r="K446" s="375">
        <f>'BVC  MS'!K445+'BVC DSP'!K446</f>
        <v>0</v>
      </c>
      <c r="L446" s="21"/>
      <c r="N446" s="217"/>
      <c r="O446" s="123"/>
      <c r="P446" s="123"/>
      <c r="Q446" s="123"/>
      <c r="R446" s="123"/>
      <c r="S446" s="123"/>
      <c r="T446" s="123"/>
      <c r="U446" s="123"/>
      <c r="V446" s="123"/>
      <c r="W446" s="123"/>
    </row>
    <row r="447" spans="1:23" ht="12.75">
      <c r="A447" s="367">
        <f t="shared" si="50"/>
        <v>427</v>
      </c>
      <c r="B447" s="368"/>
      <c r="C447" s="368">
        <v>20</v>
      </c>
      <c r="D447" s="369"/>
      <c r="E447" s="85" t="s">
        <v>294</v>
      </c>
      <c r="F447" s="49">
        <f>+F448+F459+F460+F463+F468+F472+F475+F476+F477+F478+F479+F480+F481+F483</f>
        <v>0</v>
      </c>
      <c r="G447" s="50">
        <f t="shared" si="49"/>
        <v>1254</v>
      </c>
      <c r="H447" s="166">
        <f>+H448+H459+H460+H463+H468+H472+H475+H476+H477+H478+H479+H480+H481+H483</f>
        <v>205</v>
      </c>
      <c r="I447" s="166">
        <f>+I448+I459+I460+I463+I468+I472+I475+I476+I477+I478+I479+I480+I481+I483</f>
        <v>365</v>
      </c>
      <c r="J447" s="166">
        <f>+J448+J459+J460+J463+J468+J472+J475+J476+J477+J478+J479+J480+J481+J483</f>
        <v>355</v>
      </c>
      <c r="K447" s="166">
        <f>+K448+K459+K460+K463+K468+K472+K475+K476+K477+K478+K479+K480+K481+K483</f>
        <v>329</v>
      </c>
      <c r="L447" s="21"/>
      <c r="N447" s="217"/>
      <c r="O447" s="123"/>
      <c r="P447" s="123"/>
      <c r="Q447" s="123"/>
      <c r="R447" s="123"/>
      <c r="S447" s="123"/>
      <c r="T447" s="123"/>
      <c r="U447" s="123"/>
      <c r="V447" s="123"/>
      <c r="W447" s="123"/>
    </row>
    <row r="448" spans="1:23" ht="12.75">
      <c r="A448" s="367">
        <f t="shared" si="50"/>
        <v>428</v>
      </c>
      <c r="B448" s="368"/>
      <c r="C448" s="377" t="s">
        <v>47</v>
      </c>
      <c r="D448" s="369"/>
      <c r="E448" s="85" t="s">
        <v>130</v>
      </c>
      <c r="F448" s="49">
        <f>+F449+F450+F451+F452+F453+F454+F455+F456+F457+F458</f>
        <v>0</v>
      </c>
      <c r="G448" s="50">
        <f t="shared" si="49"/>
        <v>0.11</v>
      </c>
      <c r="H448" s="166">
        <f>+H449+H450+H451+H452+H453+H454+H455+H456+H457+H458</f>
        <v>0</v>
      </c>
      <c r="I448" s="166">
        <f>+I449+I450+I451+I452+I453+I454+I455+I456+I457+I458</f>
        <v>0.11</v>
      </c>
      <c r="J448" s="166">
        <f>+J449+J450+J451+J452+J453+J454+J455+J456+J457+J458</f>
        <v>0</v>
      </c>
      <c r="K448" s="166">
        <f>+K449+K450+K451+K452+K453+K454+K455+K456+K457+K458</f>
        <v>0</v>
      </c>
      <c r="L448" s="21"/>
      <c r="N448" s="217"/>
      <c r="O448" s="123"/>
      <c r="P448" s="123"/>
      <c r="Q448" s="123"/>
      <c r="R448" s="123"/>
      <c r="S448" s="123"/>
      <c r="T448" s="123"/>
      <c r="U448" s="123"/>
      <c r="V448" s="123"/>
      <c r="W448" s="123"/>
    </row>
    <row r="449" spans="1:23" ht="12.75">
      <c r="A449" s="367">
        <f t="shared" si="50"/>
        <v>429</v>
      </c>
      <c r="B449" s="368"/>
      <c r="C449" s="368"/>
      <c r="D449" s="379" t="s">
        <v>47</v>
      </c>
      <c r="E449" s="66" t="s">
        <v>186</v>
      </c>
      <c r="F449" s="375"/>
      <c r="G449" s="79">
        <f t="shared" si="49"/>
        <v>0</v>
      </c>
      <c r="H449" s="375">
        <f>'BVC  MS'!H448+'BVC DSP'!H449</f>
        <v>0</v>
      </c>
      <c r="I449" s="375">
        <f>'BVC  MS'!I448+'BVC DSP'!I449</f>
        <v>0</v>
      </c>
      <c r="J449" s="375">
        <f>'BVC  MS'!J448+'BVC DSP'!J449</f>
        <v>0</v>
      </c>
      <c r="K449" s="375">
        <f>'BVC  MS'!K448+'BVC DSP'!K449</f>
        <v>0</v>
      </c>
      <c r="L449" s="21"/>
      <c r="N449" s="217"/>
      <c r="O449" s="123"/>
      <c r="P449" s="123"/>
      <c r="Q449" s="123"/>
      <c r="R449" s="123"/>
      <c r="S449" s="123"/>
      <c r="T449" s="123"/>
      <c r="U449" s="123"/>
      <c r="V449" s="123"/>
      <c r="W449" s="123"/>
    </row>
    <row r="450" spans="1:23" ht="12.75">
      <c r="A450" s="367">
        <f t="shared" si="50"/>
        <v>430</v>
      </c>
      <c r="B450" s="368"/>
      <c r="C450" s="368"/>
      <c r="D450" s="379" t="s">
        <v>80</v>
      </c>
      <c r="E450" s="66" t="s">
        <v>187</v>
      </c>
      <c r="F450" s="375"/>
      <c r="G450" s="79">
        <f t="shared" si="49"/>
        <v>0</v>
      </c>
      <c r="H450" s="375">
        <f>'BVC  MS'!H449+'BVC DSP'!H450</f>
        <v>0</v>
      </c>
      <c r="I450" s="375">
        <f>'BVC  MS'!I449+'BVC DSP'!I450</f>
        <v>0</v>
      </c>
      <c r="J450" s="375">
        <f>'BVC  MS'!J449+'BVC DSP'!J450</f>
        <v>0</v>
      </c>
      <c r="K450" s="375">
        <f>'BVC  MS'!K449+'BVC DSP'!K450</f>
        <v>0</v>
      </c>
      <c r="L450" s="21"/>
      <c r="N450" s="217"/>
      <c r="O450" s="123"/>
      <c r="P450" s="123"/>
      <c r="Q450" s="123"/>
      <c r="R450" s="123"/>
      <c r="S450" s="123"/>
      <c r="T450" s="123"/>
      <c r="U450" s="123"/>
      <c r="V450" s="123"/>
      <c r="W450" s="123"/>
    </row>
    <row r="451" spans="1:23" ht="12.75">
      <c r="A451" s="367">
        <f t="shared" si="50"/>
        <v>431</v>
      </c>
      <c r="B451" s="368"/>
      <c r="C451" s="368"/>
      <c r="D451" s="379" t="s">
        <v>84</v>
      </c>
      <c r="E451" s="66" t="s">
        <v>188</v>
      </c>
      <c r="F451" s="375"/>
      <c r="G451" s="79">
        <f t="shared" si="49"/>
        <v>0.11</v>
      </c>
      <c r="H451" s="375">
        <f>'BVC  MS'!H450+'BVC DSP'!H451</f>
        <v>0</v>
      </c>
      <c r="I451" s="375">
        <f>'BVC  MS'!I450+'BVC DSP'!I451</f>
        <v>0.11</v>
      </c>
      <c r="J451" s="375">
        <f>'BVC  MS'!J450+'BVC DSP'!J451</f>
        <v>0</v>
      </c>
      <c r="K451" s="375">
        <f>'BVC  MS'!K450+'BVC DSP'!K451</f>
        <v>0</v>
      </c>
      <c r="L451" s="21"/>
      <c r="N451" s="217"/>
      <c r="O451" s="123"/>
      <c r="P451" s="123"/>
      <c r="Q451" s="123"/>
      <c r="R451" s="123"/>
      <c r="S451" s="123"/>
      <c r="T451" s="123"/>
      <c r="U451" s="123"/>
      <c r="V451" s="123"/>
      <c r="W451" s="123"/>
    </row>
    <row r="452" spans="1:23" ht="12.75">
      <c r="A452" s="367">
        <f t="shared" si="50"/>
        <v>432</v>
      </c>
      <c r="B452" s="368"/>
      <c r="C452" s="368"/>
      <c r="D452" s="379" t="s">
        <v>108</v>
      </c>
      <c r="E452" s="66" t="s">
        <v>189</v>
      </c>
      <c r="F452" s="375"/>
      <c r="G452" s="79">
        <f t="shared" si="49"/>
        <v>0</v>
      </c>
      <c r="H452" s="375">
        <f>'BVC  MS'!H451+'BVC DSP'!H452</f>
        <v>0</v>
      </c>
      <c r="I452" s="375">
        <f>'BVC  MS'!I451+'BVC DSP'!I452</f>
        <v>0</v>
      </c>
      <c r="J452" s="375">
        <f>'BVC  MS'!J451+'BVC DSP'!J452</f>
        <v>0</v>
      </c>
      <c r="K452" s="375">
        <f>'BVC  MS'!K451+'BVC DSP'!K452</f>
        <v>0</v>
      </c>
      <c r="L452" s="21"/>
      <c r="N452" s="217"/>
      <c r="O452" s="123"/>
      <c r="P452" s="123"/>
      <c r="Q452" s="123"/>
      <c r="R452" s="123"/>
      <c r="S452" s="123"/>
      <c r="T452" s="123"/>
      <c r="U452" s="123"/>
      <c r="V452" s="123"/>
      <c r="W452" s="123"/>
    </row>
    <row r="453" spans="1:23" ht="12.75">
      <c r="A453" s="367">
        <f t="shared" si="50"/>
        <v>433</v>
      </c>
      <c r="B453" s="368"/>
      <c r="C453" s="368"/>
      <c r="D453" s="379" t="s">
        <v>41</v>
      </c>
      <c r="E453" s="66" t="s">
        <v>190</v>
      </c>
      <c r="F453" s="375"/>
      <c r="G453" s="79">
        <f t="shared" si="49"/>
        <v>0</v>
      </c>
      <c r="H453" s="375">
        <f>'BVC  MS'!H452+'BVC DSP'!H453</f>
        <v>0</v>
      </c>
      <c r="I453" s="375">
        <f>'BVC  MS'!I452+'BVC DSP'!I453</f>
        <v>0</v>
      </c>
      <c r="J453" s="375">
        <f>'BVC  MS'!J452+'BVC DSP'!J453</f>
        <v>0</v>
      </c>
      <c r="K453" s="375">
        <f>'BVC  MS'!K452+'BVC DSP'!K453</f>
        <v>0</v>
      </c>
      <c r="L453" s="21"/>
      <c r="N453" s="217"/>
      <c r="O453" s="123"/>
      <c r="P453" s="123"/>
      <c r="Q453" s="123"/>
      <c r="R453" s="123"/>
      <c r="S453" s="123"/>
      <c r="T453" s="123"/>
      <c r="U453" s="123"/>
      <c r="V453" s="123"/>
      <c r="W453" s="123"/>
    </row>
    <row r="454" spans="1:23" ht="12.75">
      <c r="A454" s="367">
        <f t="shared" si="50"/>
        <v>434</v>
      </c>
      <c r="B454" s="368"/>
      <c r="C454" s="368"/>
      <c r="D454" s="379" t="s">
        <v>154</v>
      </c>
      <c r="E454" s="66" t="s">
        <v>191</v>
      </c>
      <c r="F454" s="375"/>
      <c r="G454" s="79">
        <f t="shared" si="49"/>
        <v>0</v>
      </c>
      <c r="H454" s="375">
        <f>'BVC  MS'!H453+'BVC DSP'!H454</f>
        <v>0</v>
      </c>
      <c r="I454" s="375">
        <f>'BVC  MS'!I453+'BVC DSP'!I454</f>
        <v>0</v>
      </c>
      <c r="J454" s="375">
        <f>'BVC  MS'!J453+'BVC DSP'!J454</f>
        <v>0</v>
      </c>
      <c r="K454" s="375">
        <f>'BVC  MS'!K453+'BVC DSP'!K454</f>
        <v>0</v>
      </c>
      <c r="L454" s="21"/>
      <c r="N454" s="217"/>
      <c r="O454" s="123"/>
      <c r="P454" s="123"/>
      <c r="Q454" s="123"/>
      <c r="R454" s="123"/>
      <c r="S454" s="123"/>
      <c r="T454" s="123"/>
      <c r="U454" s="123"/>
      <c r="V454" s="123"/>
      <c r="W454" s="123"/>
    </row>
    <row r="455" spans="1:23" ht="12.75">
      <c r="A455" s="367">
        <f t="shared" si="50"/>
        <v>435</v>
      </c>
      <c r="B455" s="368"/>
      <c r="C455" s="368"/>
      <c r="D455" s="379" t="s">
        <v>157</v>
      </c>
      <c r="E455" s="66" t="s">
        <v>192</v>
      </c>
      <c r="F455" s="375"/>
      <c r="G455" s="79">
        <f t="shared" si="49"/>
        <v>0</v>
      </c>
      <c r="H455" s="375">
        <f>'BVC  MS'!H454+'BVC DSP'!H455</f>
        <v>0</v>
      </c>
      <c r="I455" s="375">
        <f>'BVC  MS'!I454+'BVC DSP'!I455</f>
        <v>0</v>
      </c>
      <c r="J455" s="375">
        <f>'BVC  MS'!J454+'BVC DSP'!J455</f>
        <v>0</v>
      </c>
      <c r="K455" s="375">
        <f>'BVC  MS'!K454+'BVC DSP'!K455</f>
        <v>0</v>
      </c>
      <c r="L455" s="21"/>
      <c r="N455" s="217"/>
      <c r="O455" s="123"/>
      <c r="P455" s="123"/>
      <c r="Q455" s="123"/>
      <c r="R455" s="123"/>
      <c r="S455" s="123"/>
      <c r="T455" s="123"/>
      <c r="U455" s="123"/>
      <c r="V455" s="123"/>
      <c r="W455" s="123"/>
    </row>
    <row r="456" spans="1:23" ht="12.75">
      <c r="A456" s="367">
        <f t="shared" si="50"/>
        <v>436</v>
      </c>
      <c r="B456" s="368"/>
      <c r="C456" s="368"/>
      <c r="D456" s="379" t="s">
        <v>65</v>
      </c>
      <c r="E456" s="66" t="s">
        <v>193</v>
      </c>
      <c r="F456" s="375"/>
      <c r="G456" s="79">
        <f t="shared" si="49"/>
        <v>0</v>
      </c>
      <c r="H456" s="375">
        <f>'BVC  MS'!H455+'BVC DSP'!H456</f>
        <v>0</v>
      </c>
      <c r="I456" s="375">
        <f>'BVC  MS'!I455+'BVC DSP'!I456</f>
        <v>0</v>
      </c>
      <c r="J456" s="375">
        <f>'BVC  MS'!J455+'BVC DSP'!J456</f>
        <v>0</v>
      </c>
      <c r="K456" s="375">
        <f>'BVC  MS'!K455+'BVC DSP'!K456</f>
        <v>0</v>
      </c>
      <c r="L456" s="21"/>
      <c r="N456" s="217"/>
      <c r="O456" s="123"/>
      <c r="P456" s="123"/>
      <c r="Q456" s="123"/>
      <c r="R456" s="123"/>
      <c r="S456" s="123"/>
      <c r="T456" s="123"/>
      <c r="U456" s="123"/>
      <c r="V456" s="123"/>
      <c r="W456" s="123"/>
    </row>
    <row r="457" spans="1:23" ht="12.75">
      <c r="A457" s="367">
        <f t="shared" si="50"/>
        <v>437</v>
      </c>
      <c r="B457" s="368"/>
      <c r="C457" s="368"/>
      <c r="D457" s="379" t="s">
        <v>160</v>
      </c>
      <c r="E457" s="66" t="s">
        <v>194</v>
      </c>
      <c r="F457" s="375"/>
      <c r="G457" s="79">
        <f t="shared" si="49"/>
        <v>0</v>
      </c>
      <c r="H457" s="375">
        <f>'BVC  MS'!H456+'BVC DSP'!H457</f>
        <v>0</v>
      </c>
      <c r="I457" s="375">
        <f>'BVC  MS'!I456+'BVC DSP'!I457</f>
        <v>0</v>
      </c>
      <c r="J457" s="375">
        <f>'BVC  MS'!J456+'BVC DSP'!J457</f>
        <v>0</v>
      </c>
      <c r="K457" s="375">
        <f>'BVC  MS'!K456+'BVC DSP'!K457</f>
        <v>0</v>
      </c>
      <c r="L457" s="21"/>
      <c r="N457" s="217"/>
      <c r="O457" s="123"/>
      <c r="P457" s="123"/>
      <c r="Q457" s="123"/>
      <c r="R457" s="123"/>
      <c r="S457" s="123"/>
      <c r="T457" s="123"/>
      <c r="U457" s="123"/>
      <c r="V457" s="123"/>
      <c r="W457" s="123"/>
    </row>
    <row r="458" spans="1:23" ht="12.75">
      <c r="A458" s="367">
        <f t="shared" si="50"/>
        <v>438</v>
      </c>
      <c r="B458" s="368"/>
      <c r="C458" s="368"/>
      <c r="D458" s="369">
        <v>30</v>
      </c>
      <c r="E458" s="66" t="s">
        <v>271</v>
      </c>
      <c r="F458" s="375"/>
      <c r="G458" s="79">
        <f t="shared" si="49"/>
        <v>0</v>
      </c>
      <c r="H458" s="375">
        <f>'BVC  MS'!H457+'BVC DSP'!H458</f>
        <v>0</v>
      </c>
      <c r="I458" s="375">
        <f>'BVC  MS'!I457+'BVC DSP'!I458</f>
        <v>0</v>
      </c>
      <c r="J458" s="375">
        <f>'BVC  MS'!J457+'BVC DSP'!J458</f>
        <v>0</v>
      </c>
      <c r="K458" s="375">
        <f>'BVC  MS'!K457+'BVC DSP'!K458</f>
        <v>0</v>
      </c>
      <c r="L458" s="21"/>
      <c r="N458" s="217"/>
      <c r="O458" s="123"/>
      <c r="P458" s="123"/>
      <c r="Q458" s="123"/>
      <c r="R458" s="123"/>
      <c r="S458" s="123"/>
      <c r="T458" s="123"/>
      <c r="U458" s="123"/>
      <c r="V458" s="123"/>
      <c r="W458" s="123"/>
    </row>
    <row r="459" spans="1:23" ht="12.75">
      <c r="A459" s="367">
        <f t="shared" si="50"/>
        <v>439</v>
      </c>
      <c r="B459" s="368"/>
      <c r="C459" s="377" t="s">
        <v>80</v>
      </c>
      <c r="D459" s="86"/>
      <c r="E459" s="59" t="s">
        <v>196</v>
      </c>
      <c r="F459" s="375"/>
      <c r="G459" s="79">
        <f t="shared" si="49"/>
        <v>1246.82</v>
      </c>
      <c r="H459" s="375">
        <f>'BVC  MS'!H458+'BVC DSP'!H459</f>
        <v>205</v>
      </c>
      <c r="I459" s="375">
        <f>'BVC  MS'!I458+'BVC DSP'!I459</f>
        <v>357.82</v>
      </c>
      <c r="J459" s="375">
        <f>'BVC  MS'!J458+'BVC DSP'!J459</f>
        <v>355</v>
      </c>
      <c r="K459" s="375">
        <f>'BVC  MS'!K458+'BVC DSP'!K459</f>
        <v>329</v>
      </c>
      <c r="L459" s="21"/>
      <c r="M459" s="207"/>
      <c r="N459" s="217"/>
      <c r="O459" s="123"/>
      <c r="P459" s="123"/>
      <c r="Q459" s="123"/>
      <c r="R459" s="123"/>
      <c r="S459" s="123"/>
      <c r="T459" s="123"/>
      <c r="U459" s="123"/>
      <c r="V459" s="123"/>
      <c r="W459" s="123"/>
    </row>
    <row r="460" spans="1:23" ht="12.75">
      <c r="A460" s="367">
        <f t="shared" si="50"/>
        <v>440</v>
      </c>
      <c r="B460" s="368"/>
      <c r="C460" s="377" t="s">
        <v>84</v>
      </c>
      <c r="D460" s="86"/>
      <c r="E460" s="59" t="s">
        <v>197</v>
      </c>
      <c r="F460" s="49">
        <f>+F461+F462</f>
        <v>0</v>
      </c>
      <c r="G460" s="50">
        <f t="shared" si="49"/>
        <v>0</v>
      </c>
      <c r="H460" s="166">
        <f>+H461+H462</f>
        <v>0</v>
      </c>
      <c r="I460" s="166">
        <f>+I461+I462</f>
        <v>0</v>
      </c>
      <c r="J460" s="166">
        <f>+J461+J462</f>
        <v>0</v>
      </c>
      <c r="K460" s="166">
        <f>+K461+K462</f>
        <v>0</v>
      </c>
      <c r="L460" s="21"/>
      <c r="N460" s="217"/>
      <c r="O460" s="123"/>
      <c r="P460" s="123"/>
      <c r="Q460" s="123"/>
      <c r="R460" s="123"/>
      <c r="S460" s="123"/>
      <c r="T460" s="123"/>
      <c r="U460" s="123"/>
      <c r="V460" s="123"/>
      <c r="W460" s="123"/>
    </row>
    <row r="461" spans="1:23" ht="12.75">
      <c r="A461" s="367">
        <f t="shared" si="50"/>
        <v>441</v>
      </c>
      <c r="B461" s="368"/>
      <c r="C461" s="368"/>
      <c r="D461" s="379" t="s">
        <v>47</v>
      </c>
      <c r="E461" s="66" t="s">
        <v>198</v>
      </c>
      <c r="F461" s="375"/>
      <c r="G461" s="79">
        <f t="shared" si="49"/>
        <v>0</v>
      </c>
      <c r="H461" s="375">
        <f>'BVC  MS'!H460+'BVC DSP'!H461</f>
        <v>0</v>
      </c>
      <c r="I461" s="375">
        <f>'BVC  MS'!I460+'BVC DSP'!I461</f>
        <v>0</v>
      </c>
      <c r="J461" s="375">
        <f>'BVC  MS'!J460+'BVC DSP'!J461</f>
        <v>0</v>
      </c>
      <c r="K461" s="375">
        <f>'BVC  MS'!K460+'BVC DSP'!K461</f>
        <v>0</v>
      </c>
      <c r="L461" s="21"/>
      <c r="N461" s="217"/>
      <c r="O461" s="123"/>
      <c r="P461" s="123"/>
      <c r="Q461" s="123"/>
      <c r="R461" s="123"/>
      <c r="S461" s="123"/>
      <c r="T461" s="123"/>
      <c r="U461" s="123"/>
      <c r="V461" s="123"/>
      <c r="W461" s="123"/>
    </row>
    <row r="462" spans="1:23" ht="12.75">
      <c r="A462" s="367">
        <f t="shared" si="50"/>
        <v>442</v>
      </c>
      <c r="B462" s="368"/>
      <c r="C462" s="368"/>
      <c r="D462" s="379" t="s">
        <v>80</v>
      </c>
      <c r="E462" s="66" t="s">
        <v>199</v>
      </c>
      <c r="F462" s="375"/>
      <c r="G462" s="79">
        <f t="shared" si="49"/>
        <v>0</v>
      </c>
      <c r="H462" s="375">
        <f>'BVC  MS'!H461+'BVC DSP'!H462</f>
        <v>0</v>
      </c>
      <c r="I462" s="375">
        <f>'BVC  MS'!I461+'BVC DSP'!I462</f>
        <v>0</v>
      </c>
      <c r="J462" s="375">
        <f>'BVC  MS'!J461+'BVC DSP'!J462</f>
        <v>0</v>
      </c>
      <c r="K462" s="375">
        <f>'BVC  MS'!K461+'BVC DSP'!K462</f>
        <v>0</v>
      </c>
      <c r="L462" s="21"/>
      <c r="N462" s="217"/>
      <c r="O462" s="123"/>
      <c r="P462" s="123"/>
      <c r="Q462" s="123"/>
      <c r="R462" s="123"/>
      <c r="S462" s="123"/>
      <c r="T462" s="123"/>
      <c r="U462" s="123"/>
      <c r="V462" s="123"/>
      <c r="W462" s="123"/>
    </row>
    <row r="463" spans="1:23" ht="12.75">
      <c r="A463" s="367">
        <f t="shared" si="50"/>
        <v>443</v>
      </c>
      <c r="B463" s="368"/>
      <c r="C463" s="377" t="s">
        <v>108</v>
      </c>
      <c r="D463" s="369"/>
      <c r="E463" s="59" t="s">
        <v>200</v>
      </c>
      <c r="F463" s="49">
        <f>+F464+F465+F466+F467</f>
        <v>0</v>
      </c>
      <c r="G463" s="50">
        <f t="shared" si="49"/>
        <v>0</v>
      </c>
      <c r="H463" s="166">
        <f>+H464+H465+H466+H467</f>
        <v>0</v>
      </c>
      <c r="I463" s="166">
        <f>+I464+I465+I466+I467</f>
        <v>0</v>
      </c>
      <c r="J463" s="166">
        <f>+J464+J465+J466+J467</f>
        <v>0</v>
      </c>
      <c r="K463" s="166">
        <f>+K464+K465+K466+K467</f>
        <v>0</v>
      </c>
      <c r="L463" s="21"/>
      <c r="N463" s="217"/>
      <c r="O463" s="123"/>
      <c r="P463" s="123"/>
      <c r="Q463" s="123"/>
      <c r="R463" s="123"/>
      <c r="S463" s="123"/>
      <c r="T463" s="123"/>
      <c r="U463" s="123"/>
      <c r="V463" s="123"/>
      <c r="W463" s="123"/>
    </row>
    <row r="464" spans="1:23" ht="12.75">
      <c r="A464" s="367">
        <f t="shared" si="50"/>
        <v>444</v>
      </c>
      <c r="B464" s="368"/>
      <c r="C464" s="368"/>
      <c r="D464" s="379" t="s">
        <v>47</v>
      </c>
      <c r="E464" s="66" t="s">
        <v>201</v>
      </c>
      <c r="F464" s="375"/>
      <c r="G464" s="79">
        <f t="shared" si="49"/>
        <v>0</v>
      </c>
      <c r="H464" s="375">
        <f>'BVC  MS'!H463+'BVC DSP'!H464</f>
        <v>0</v>
      </c>
      <c r="I464" s="375">
        <f>'BVC  MS'!I463+'BVC DSP'!I464</f>
        <v>0</v>
      </c>
      <c r="J464" s="375">
        <f>'BVC  MS'!J463+'BVC DSP'!J464</f>
        <v>0</v>
      </c>
      <c r="K464" s="375">
        <f>'BVC  MS'!K463+'BVC DSP'!K464</f>
        <v>0</v>
      </c>
      <c r="L464" s="21"/>
      <c r="N464" s="217"/>
      <c r="O464" s="123"/>
      <c r="P464" s="123"/>
      <c r="Q464" s="123"/>
      <c r="R464" s="123"/>
      <c r="S464" s="123"/>
      <c r="T464" s="123"/>
      <c r="U464" s="123"/>
      <c r="V464" s="123"/>
      <c r="W464" s="123"/>
    </row>
    <row r="465" spans="1:23" ht="12.75">
      <c r="A465" s="367">
        <f t="shared" si="50"/>
        <v>445</v>
      </c>
      <c r="B465" s="368"/>
      <c r="C465" s="368"/>
      <c r="D465" s="379" t="s">
        <v>80</v>
      </c>
      <c r="E465" s="66" t="s">
        <v>202</v>
      </c>
      <c r="F465" s="375"/>
      <c r="G465" s="79">
        <f t="shared" si="49"/>
        <v>0</v>
      </c>
      <c r="H465" s="375">
        <f>'BVC  MS'!H464+'BVC DSP'!H465</f>
        <v>0</v>
      </c>
      <c r="I465" s="375">
        <f>'BVC  MS'!I464+'BVC DSP'!I465</f>
        <v>0</v>
      </c>
      <c r="J465" s="375">
        <f>'BVC  MS'!J464+'BVC DSP'!J465</f>
        <v>0</v>
      </c>
      <c r="K465" s="375">
        <f>'BVC  MS'!K464+'BVC DSP'!K465</f>
        <v>0</v>
      </c>
      <c r="L465" s="21"/>
      <c r="N465" s="217"/>
      <c r="O465" s="123"/>
      <c r="P465" s="123"/>
      <c r="Q465" s="123"/>
      <c r="R465" s="123"/>
      <c r="S465" s="123"/>
      <c r="T465" s="123"/>
      <c r="U465" s="123"/>
      <c r="V465" s="123"/>
      <c r="W465" s="123"/>
    </row>
    <row r="466" spans="1:23" ht="12.75">
      <c r="A466" s="367">
        <f t="shared" si="50"/>
        <v>446</v>
      </c>
      <c r="B466" s="368"/>
      <c r="C466" s="368"/>
      <c r="D466" s="379" t="s">
        <v>84</v>
      </c>
      <c r="E466" s="66" t="s">
        <v>203</v>
      </c>
      <c r="F466" s="375"/>
      <c r="G466" s="79">
        <f t="shared" si="49"/>
        <v>0</v>
      </c>
      <c r="H466" s="375">
        <f>'BVC  MS'!H465+'BVC DSP'!H466</f>
        <v>0</v>
      </c>
      <c r="I466" s="375">
        <f>'BVC  MS'!I465+'BVC DSP'!I466</f>
        <v>0</v>
      </c>
      <c r="J466" s="375">
        <f>'BVC  MS'!J465+'BVC DSP'!J466</f>
        <v>0</v>
      </c>
      <c r="K466" s="375">
        <f>'BVC  MS'!K465+'BVC DSP'!K466</f>
        <v>0</v>
      </c>
      <c r="L466" s="21"/>
      <c r="N466" s="217"/>
      <c r="O466" s="123"/>
      <c r="P466" s="123"/>
      <c r="Q466" s="123"/>
      <c r="R466" s="123"/>
      <c r="S466" s="123"/>
      <c r="T466" s="123"/>
      <c r="U466" s="123"/>
      <c r="V466" s="123"/>
      <c r="W466" s="123"/>
    </row>
    <row r="467" spans="1:23" ht="12.75">
      <c r="A467" s="367">
        <f t="shared" si="50"/>
        <v>447</v>
      </c>
      <c r="B467" s="368"/>
      <c r="C467" s="368"/>
      <c r="D467" s="379" t="s">
        <v>108</v>
      </c>
      <c r="E467" s="66" t="s">
        <v>204</v>
      </c>
      <c r="F467" s="375"/>
      <c r="G467" s="79">
        <f t="shared" si="49"/>
        <v>0</v>
      </c>
      <c r="H467" s="375">
        <f>'BVC  MS'!H466+'BVC DSP'!H467</f>
        <v>0</v>
      </c>
      <c r="I467" s="375">
        <f>'BVC  MS'!I466+'BVC DSP'!I467</f>
        <v>0</v>
      </c>
      <c r="J467" s="375">
        <f>'BVC  MS'!J466+'BVC DSP'!J467</f>
        <v>0</v>
      </c>
      <c r="K467" s="375">
        <f>'BVC  MS'!K466+'BVC DSP'!K467</f>
        <v>0</v>
      </c>
      <c r="L467" s="21"/>
      <c r="N467" s="217"/>
      <c r="O467" s="123"/>
      <c r="P467" s="123"/>
      <c r="Q467" s="123"/>
      <c r="R467" s="123"/>
      <c r="S467" s="123"/>
      <c r="T467" s="123"/>
      <c r="U467" s="123"/>
      <c r="V467" s="123"/>
      <c r="W467" s="123"/>
    </row>
    <row r="468" spans="1:14" ht="12.75">
      <c r="A468" s="367">
        <f t="shared" si="50"/>
        <v>448</v>
      </c>
      <c r="B468" s="368"/>
      <c r="C468" s="377" t="s">
        <v>41</v>
      </c>
      <c r="D468" s="369"/>
      <c r="E468" s="85" t="s">
        <v>205</v>
      </c>
      <c r="F468" s="49">
        <f>+F469+F470+F471</f>
        <v>0</v>
      </c>
      <c r="G468" s="50">
        <f t="shared" si="49"/>
        <v>7.07</v>
      </c>
      <c r="H468" s="166">
        <f>+H469+H470+H471</f>
        <v>0</v>
      </c>
      <c r="I468" s="166">
        <f>+I469+I470+I471</f>
        <v>7.07</v>
      </c>
      <c r="J468" s="166">
        <f>+J469+J470+J471</f>
        <v>0</v>
      </c>
      <c r="K468" s="166">
        <f>+K469+K470+K471</f>
        <v>0</v>
      </c>
      <c r="L468" s="21"/>
      <c r="N468" s="167"/>
    </row>
    <row r="469" spans="1:14" ht="12.75">
      <c r="A469" s="367">
        <f t="shared" si="50"/>
        <v>449</v>
      </c>
      <c r="B469" s="368"/>
      <c r="C469" s="368"/>
      <c r="D469" s="379" t="s">
        <v>47</v>
      </c>
      <c r="E469" s="66" t="s">
        <v>206</v>
      </c>
      <c r="F469" s="375"/>
      <c r="G469" s="79">
        <f t="shared" si="49"/>
        <v>0</v>
      </c>
      <c r="H469" s="375">
        <f>'BVC  MS'!H468+'BVC DSP'!H469</f>
        <v>0</v>
      </c>
      <c r="I469" s="375">
        <f>'BVC  MS'!I468+'BVC DSP'!I469</f>
        <v>0</v>
      </c>
      <c r="J469" s="375">
        <f>'BVC  MS'!J468+'BVC DSP'!J469</f>
        <v>0</v>
      </c>
      <c r="K469" s="375">
        <f>'BVC  MS'!K468+'BVC DSP'!K469</f>
        <v>0</v>
      </c>
      <c r="L469" s="21"/>
      <c r="N469" s="167"/>
    </row>
    <row r="470" spans="1:14" ht="12.75">
      <c r="A470" s="367">
        <f t="shared" si="50"/>
        <v>450</v>
      </c>
      <c r="B470" s="368"/>
      <c r="C470" s="368"/>
      <c r="D470" s="379" t="s">
        <v>84</v>
      </c>
      <c r="E470" s="66" t="s">
        <v>207</v>
      </c>
      <c r="F470" s="375"/>
      <c r="G470" s="79">
        <f t="shared" si="49"/>
        <v>0</v>
      </c>
      <c r="H470" s="375">
        <f>'BVC  MS'!H469+'BVC DSP'!H470</f>
        <v>0</v>
      </c>
      <c r="I470" s="375">
        <f>'BVC  MS'!I469+'BVC DSP'!I470</f>
        <v>0</v>
      </c>
      <c r="J470" s="375">
        <f>'BVC  MS'!J469+'BVC DSP'!J470</f>
        <v>0</v>
      </c>
      <c r="K470" s="375">
        <f>'BVC  MS'!K469+'BVC DSP'!K470</f>
        <v>0</v>
      </c>
      <c r="L470" s="21"/>
      <c r="N470" s="167"/>
    </row>
    <row r="471" spans="1:14" ht="12.75">
      <c r="A471" s="367">
        <f t="shared" si="50"/>
        <v>451</v>
      </c>
      <c r="B471" s="368"/>
      <c r="C471" s="368"/>
      <c r="D471" s="369">
        <v>30</v>
      </c>
      <c r="E471" s="66" t="s">
        <v>208</v>
      </c>
      <c r="F471" s="375"/>
      <c r="G471" s="79">
        <f t="shared" si="49"/>
        <v>7.07</v>
      </c>
      <c r="H471" s="375">
        <f>'BVC  MS'!H470+'BVC DSP'!H471</f>
        <v>0</v>
      </c>
      <c r="I471" s="375">
        <f>'BVC  MS'!I470+'BVC DSP'!I471</f>
        <v>7.07</v>
      </c>
      <c r="J471" s="375">
        <f>'BVC  MS'!J470+'BVC DSP'!J471</f>
        <v>0</v>
      </c>
      <c r="K471" s="375">
        <f>'BVC  MS'!K470+'BVC DSP'!K471</f>
        <v>0</v>
      </c>
      <c r="L471" s="21"/>
      <c r="N471" s="167"/>
    </row>
    <row r="472" spans="1:14" ht="12.75">
      <c r="A472" s="367">
        <f t="shared" si="50"/>
        <v>452</v>
      </c>
      <c r="B472" s="368"/>
      <c r="C472" s="377" t="s">
        <v>154</v>
      </c>
      <c r="D472" s="369"/>
      <c r="E472" s="59" t="s">
        <v>209</v>
      </c>
      <c r="F472" s="49">
        <f>+F473+F474</f>
        <v>0</v>
      </c>
      <c r="G472" s="50">
        <f t="shared" si="49"/>
        <v>0</v>
      </c>
      <c r="H472" s="166">
        <f>+H473+H474</f>
        <v>0</v>
      </c>
      <c r="I472" s="166">
        <f>+I473+I474</f>
        <v>0</v>
      </c>
      <c r="J472" s="166">
        <f>+J473+J474</f>
        <v>0</v>
      </c>
      <c r="K472" s="166">
        <f>+K473+K474</f>
        <v>0</v>
      </c>
      <c r="L472" s="21"/>
      <c r="N472" s="167"/>
    </row>
    <row r="473" spans="1:14" ht="12.75">
      <c r="A473" s="367">
        <f t="shared" si="50"/>
        <v>453</v>
      </c>
      <c r="B473" s="368"/>
      <c r="C473" s="368"/>
      <c r="D473" s="379" t="s">
        <v>47</v>
      </c>
      <c r="E473" s="78" t="s">
        <v>272</v>
      </c>
      <c r="F473" s="375"/>
      <c r="G473" s="79">
        <f t="shared" si="49"/>
        <v>0</v>
      </c>
      <c r="H473" s="375">
        <f>'BVC  MS'!H472+'BVC DSP'!H473</f>
        <v>0</v>
      </c>
      <c r="I473" s="375">
        <f>'BVC  MS'!I472+'BVC DSP'!I473</f>
        <v>0</v>
      </c>
      <c r="J473" s="375">
        <f>'BVC  MS'!J472+'BVC DSP'!J473</f>
        <v>0</v>
      </c>
      <c r="K473" s="375">
        <f>'BVC  MS'!K472+'BVC DSP'!K473</f>
        <v>0</v>
      </c>
      <c r="L473" s="21"/>
      <c r="N473" s="167"/>
    </row>
    <row r="474" spans="1:14" ht="12.75">
      <c r="A474" s="367">
        <f t="shared" si="50"/>
        <v>454</v>
      </c>
      <c r="B474" s="368"/>
      <c r="C474" s="368"/>
      <c r="D474" s="379" t="s">
        <v>80</v>
      </c>
      <c r="E474" s="66" t="s">
        <v>211</v>
      </c>
      <c r="F474" s="375"/>
      <c r="G474" s="79">
        <f t="shared" si="49"/>
        <v>0</v>
      </c>
      <c r="H474" s="375">
        <f>'BVC  MS'!H473+'BVC DSP'!H474</f>
        <v>0</v>
      </c>
      <c r="I474" s="375">
        <f>'BVC  MS'!I473+'BVC DSP'!I474</f>
        <v>0</v>
      </c>
      <c r="J474" s="375">
        <f>'BVC  MS'!J473+'BVC DSP'!J474</f>
        <v>0</v>
      </c>
      <c r="K474" s="375">
        <f>'BVC  MS'!K473+'BVC DSP'!K474</f>
        <v>0</v>
      </c>
      <c r="L474" s="21"/>
      <c r="N474" s="167"/>
    </row>
    <row r="475" spans="1:14" ht="12.75">
      <c r="A475" s="367">
        <f t="shared" si="50"/>
        <v>455</v>
      </c>
      <c r="B475" s="368"/>
      <c r="C475" s="377" t="s">
        <v>160</v>
      </c>
      <c r="D475" s="369"/>
      <c r="E475" s="85" t="s">
        <v>212</v>
      </c>
      <c r="F475" s="422"/>
      <c r="G475" s="79">
        <f t="shared" si="49"/>
        <v>0</v>
      </c>
      <c r="H475" s="375">
        <f>'BVC  MS'!H474+'BVC DSP'!H475</f>
        <v>0</v>
      </c>
      <c r="I475" s="375">
        <f>'BVC  MS'!I474+'BVC DSP'!I475</f>
        <v>0</v>
      </c>
      <c r="J475" s="375">
        <f>'BVC  MS'!J474+'BVC DSP'!J475</f>
        <v>0</v>
      </c>
      <c r="K475" s="375">
        <f>'BVC  MS'!K474+'BVC DSP'!K475</f>
        <v>0</v>
      </c>
      <c r="L475" s="21"/>
      <c r="N475" s="167"/>
    </row>
    <row r="476" spans="1:14" ht="12.75">
      <c r="A476" s="367">
        <f t="shared" si="50"/>
        <v>456</v>
      </c>
      <c r="B476" s="368"/>
      <c r="C476" s="368">
        <v>10</v>
      </c>
      <c r="D476" s="369"/>
      <c r="E476" s="85" t="s">
        <v>213</v>
      </c>
      <c r="F476" s="422"/>
      <c r="G476" s="79">
        <f aca="true" t="shared" si="51" ref="G476:G544">H476+I476+J476+K476</f>
        <v>0</v>
      </c>
      <c r="H476" s="375">
        <f>'BVC  MS'!H475+'BVC DSP'!H476</f>
        <v>0</v>
      </c>
      <c r="I476" s="375">
        <f>'BVC  MS'!I475+'BVC DSP'!I476</f>
        <v>0</v>
      </c>
      <c r="J476" s="375">
        <f>'BVC  MS'!J475+'BVC DSP'!J476</f>
        <v>0</v>
      </c>
      <c r="K476" s="375">
        <f>'BVC  MS'!K475+'BVC DSP'!K476</f>
        <v>0</v>
      </c>
      <c r="L476" s="21"/>
      <c r="N476" s="167"/>
    </row>
    <row r="477" spans="1:14" ht="12.75">
      <c r="A477" s="367">
        <f aca="true" t="shared" si="52" ref="A477:A540">A476+1</f>
        <v>457</v>
      </c>
      <c r="B477" s="368"/>
      <c r="C477" s="368">
        <v>11</v>
      </c>
      <c r="D477" s="369"/>
      <c r="E477" s="85" t="s">
        <v>273</v>
      </c>
      <c r="F477" s="422"/>
      <c r="G477" s="79">
        <f t="shared" si="51"/>
        <v>0</v>
      </c>
      <c r="H477" s="375">
        <f>'BVC  MS'!H476+'BVC DSP'!H477</f>
        <v>0</v>
      </c>
      <c r="I477" s="375">
        <f>'BVC  MS'!I476+'BVC DSP'!I477</f>
        <v>0</v>
      </c>
      <c r="J477" s="375">
        <f>'BVC  MS'!J476+'BVC DSP'!J477</f>
        <v>0</v>
      </c>
      <c r="K477" s="375">
        <f>'BVC  MS'!K476+'BVC DSP'!K477</f>
        <v>0</v>
      </c>
      <c r="L477" s="21"/>
      <c r="N477" s="167"/>
    </row>
    <row r="478" spans="1:14" ht="12.75">
      <c r="A478" s="367">
        <f t="shared" si="52"/>
        <v>458</v>
      </c>
      <c r="B478" s="368"/>
      <c r="C478" s="368">
        <v>12</v>
      </c>
      <c r="D478" s="369"/>
      <c r="E478" s="85" t="s">
        <v>274</v>
      </c>
      <c r="F478" s="422"/>
      <c r="G478" s="79">
        <f t="shared" si="51"/>
        <v>0</v>
      </c>
      <c r="H478" s="375">
        <f>'BVC  MS'!H477+'BVC DSP'!H478</f>
        <v>0</v>
      </c>
      <c r="I478" s="375">
        <f>'BVC  MS'!I477+'BVC DSP'!I478</f>
        <v>0</v>
      </c>
      <c r="J478" s="375">
        <f>'BVC  MS'!J477+'BVC DSP'!J478</f>
        <v>0</v>
      </c>
      <c r="K478" s="375">
        <f>'BVC  MS'!K477+'BVC DSP'!K478</f>
        <v>0</v>
      </c>
      <c r="L478" s="21"/>
      <c r="N478" s="167"/>
    </row>
    <row r="479" spans="1:14" ht="12.75">
      <c r="A479" s="367">
        <f t="shared" si="52"/>
        <v>459</v>
      </c>
      <c r="B479" s="368"/>
      <c r="C479" s="368">
        <v>13</v>
      </c>
      <c r="D479" s="369"/>
      <c r="E479" s="85" t="s">
        <v>216</v>
      </c>
      <c r="F479" s="422"/>
      <c r="G479" s="79">
        <f t="shared" si="51"/>
        <v>0</v>
      </c>
      <c r="H479" s="375">
        <f>'BVC  MS'!H478+'BVC DSP'!H479</f>
        <v>0</v>
      </c>
      <c r="I479" s="375">
        <f>'BVC  MS'!I478+'BVC DSP'!I479</f>
        <v>0</v>
      </c>
      <c r="J479" s="375">
        <f>'BVC  MS'!J478+'BVC DSP'!J479</f>
        <v>0</v>
      </c>
      <c r="K479" s="375">
        <f>'BVC  MS'!K478+'BVC DSP'!K479</f>
        <v>0</v>
      </c>
      <c r="L479" s="21"/>
      <c r="N479" s="167"/>
    </row>
    <row r="480" spans="1:14" ht="12.75">
      <c r="A480" s="367">
        <f t="shared" si="52"/>
        <v>460</v>
      </c>
      <c r="B480" s="368"/>
      <c r="C480" s="368">
        <v>14</v>
      </c>
      <c r="D480" s="369"/>
      <c r="E480" s="85" t="s">
        <v>217</v>
      </c>
      <c r="F480" s="422"/>
      <c r="G480" s="79">
        <f t="shared" si="51"/>
        <v>0</v>
      </c>
      <c r="H480" s="375">
        <f>'BVC  MS'!H479+'BVC DSP'!H480</f>
        <v>0</v>
      </c>
      <c r="I480" s="375">
        <f>'BVC  MS'!I479+'BVC DSP'!I480</f>
        <v>0</v>
      </c>
      <c r="J480" s="375">
        <f>'BVC  MS'!J479+'BVC DSP'!J480</f>
        <v>0</v>
      </c>
      <c r="K480" s="375">
        <f>'BVC  MS'!K479+'BVC DSP'!K480</f>
        <v>0</v>
      </c>
      <c r="L480" s="21"/>
      <c r="N480" s="167"/>
    </row>
    <row r="481" spans="1:14" ht="12.75">
      <c r="A481" s="367">
        <f t="shared" si="52"/>
        <v>461</v>
      </c>
      <c r="B481" s="368"/>
      <c r="C481" s="368">
        <v>25</v>
      </c>
      <c r="D481" s="369"/>
      <c r="E481" s="85" t="s">
        <v>218</v>
      </c>
      <c r="F481" s="422"/>
      <c r="G481" s="79">
        <f t="shared" si="51"/>
        <v>0</v>
      </c>
      <c r="H481" s="375">
        <f>'BVC  MS'!H480+'BVC DSP'!H481</f>
        <v>0</v>
      </c>
      <c r="I481" s="375">
        <f>'BVC  MS'!I480+'BVC DSP'!I481</f>
        <v>0</v>
      </c>
      <c r="J481" s="375">
        <f>'BVC  MS'!J480+'BVC DSP'!J481</f>
        <v>0</v>
      </c>
      <c r="K481" s="375">
        <f>'BVC  MS'!K480+'BVC DSP'!K481</f>
        <v>0</v>
      </c>
      <c r="L481" s="21"/>
      <c r="N481" s="167"/>
    </row>
    <row r="482" spans="1:14" ht="12.75">
      <c r="A482" s="367">
        <f t="shared" si="52"/>
        <v>462</v>
      </c>
      <c r="B482" s="368"/>
      <c r="C482" s="368">
        <v>27</v>
      </c>
      <c r="D482" s="369"/>
      <c r="E482" s="85" t="s">
        <v>219</v>
      </c>
      <c r="F482" s="422"/>
      <c r="G482" s="79">
        <f t="shared" si="51"/>
        <v>0</v>
      </c>
      <c r="H482" s="375">
        <f>'BVC  MS'!H481+'BVC DSP'!H482</f>
        <v>0</v>
      </c>
      <c r="I482" s="375">
        <f>'BVC  MS'!I481+'BVC DSP'!I482</f>
        <v>0</v>
      </c>
      <c r="J482" s="375">
        <f>'BVC  MS'!J481+'BVC DSP'!J482</f>
        <v>0</v>
      </c>
      <c r="K482" s="375">
        <f>'BVC  MS'!K481+'BVC DSP'!K482</f>
        <v>0</v>
      </c>
      <c r="L482" s="21"/>
      <c r="N482" s="167"/>
    </row>
    <row r="483" spans="1:14" ht="12.75">
      <c r="A483" s="367">
        <f t="shared" si="52"/>
        <v>463</v>
      </c>
      <c r="B483" s="368"/>
      <c r="C483" s="368">
        <v>30</v>
      </c>
      <c r="D483" s="369"/>
      <c r="E483" s="85" t="s">
        <v>120</v>
      </c>
      <c r="F483" s="49">
        <f>+F484+F485+F486+F487+F488</f>
        <v>0</v>
      </c>
      <c r="G483" s="50">
        <f t="shared" si="51"/>
        <v>0</v>
      </c>
      <c r="H483" s="166">
        <f>+H484+H485+H486+H487+H488</f>
        <v>0</v>
      </c>
      <c r="I483" s="166">
        <f>+I484+I485+I486+I487+I488</f>
        <v>0</v>
      </c>
      <c r="J483" s="166">
        <f>+J484+J485+J486+J487+J488</f>
        <v>0</v>
      </c>
      <c r="K483" s="166">
        <f>+K484+K485+K486+K487+K488</f>
        <v>0</v>
      </c>
      <c r="L483" s="21"/>
      <c r="N483" s="167"/>
    </row>
    <row r="484" spans="1:14" ht="12.75">
      <c r="A484" s="367">
        <f t="shared" si="52"/>
        <v>464</v>
      </c>
      <c r="B484" s="368"/>
      <c r="C484" s="368"/>
      <c r="D484" s="379" t="s">
        <v>47</v>
      </c>
      <c r="E484" s="66" t="s">
        <v>220</v>
      </c>
      <c r="F484" s="375"/>
      <c r="G484" s="79">
        <f t="shared" si="51"/>
        <v>0</v>
      </c>
      <c r="H484" s="375">
        <f>'BVC  MS'!H483+'BVC DSP'!H484</f>
        <v>0</v>
      </c>
      <c r="I484" s="375">
        <f>'BVC  MS'!I483+'BVC DSP'!I484</f>
        <v>0</v>
      </c>
      <c r="J484" s="375">
        <f>'BVC  MS'!J483+'BVC DSP'!J484</f>
        <v>0</v>
      </c>
      <c r="K484" s="375">
        <f>'BVC  MS'!K483+'BVC DSP'!K484</f>
        <v>0</v>
      </c>
      <c r="L484" s="21"/>
      <c r="N484" s="167"/>
    </row>
    <row r="485" spans="1:14" ht="12.75">
      <c r="A485" s="367">
        <f t="shared" si="52"/>
        <v>465</v>
      </c>
      <c r="B485" s="368"/>
      <c r="C485" s="368"/>
      <c r="D485" s="379" t="s">
        <v>84</v>
      </c>
      <c r="E485" s="66" t="s">
        <v>221</v>
      </c>
      <c r="F485" s="375"/>
      <c r="G485" s="79">
        <f t="shared" si="51"/>
        <v>0</v>
      </c>
      <c r="H485" s="375">
        <f>'BVC  MS'!H484+'BVC DSP'!H485</f>
        <v>0</v>
      </c>
      <c r="I485" s="375">
        <f>'BVC  MS'!I484+'BVC DSP'!I485</f>
        <v>0</v>
      </c>
      <c r="J485" s="375">
        <f>'BVC  MS'!J484+'BVC DSP'!J485</f>
        <v>0</v>
      </c>
      <c r="K485" s="375">
        <f>'BVC  MS'!K484+'BVC DSP'!K485</f>
        <v>0</v>
      </c>
      <c r="L485" s="21"/>
      <c r="N485" s="167"/>
    </row>
    <row r="486" spans="1:14" ht="12.75">
      <c r="A486" s="367">
        <f t="shared" si="52"/>
        <v>466</v>
      </c>
      <c r="B486" s="368"/>
      <c r="C486" s="368"/>
      <c r="D486" s="379" t="s">
        <v>108</v>
      </c>
      <c r="E486" s="66" t="s">
        <v>222</v>
      </c>
      <c r="F486" s="375"/>
      <c r="G486" s="79">
        <f t="shared" si="51"/>
        <v>0</v>
      </c>
      <c r="H486" s="375">
        <f>'BVC  MS'!H485+'BVC DSP'!H486</f>
        <v>0</v>
      </c>
      <c r="I486" s="375">
        <f>'BVC  MS'!I485+'BVC DSP'!I486</f>
        <v>0</v>
      </c>
      <c r="J486" s="375">
        <f>'BVC  MS'!J485+'BVC DSP'!J486</f>
        <v>0</v>
      </c>
      <c r="K486" s="375">
        <f>'BVC  MS'!K485+'BVC DSP'!K486</f>
        <v>0</v>
      </c>
      <c r="L486" s="21"/>
      <c r="N486" s="167"/>
    </row>
    <row r="487" spans="1:14" ht="12.75">
      <c r="A487" s="367">
        <f t="shared" si="52"/>
        <v>467</v>
      </c>
      <c r="B487" s="368"/>
      <c r="C487" s="368"/>
      <c r="D487" s="379" t="s">
        <v>160</v>
      </c>
      <c r="E487" s="66" t="s">
        <v>223</v>
      </c>
      <c r="F487" s="375"/>
      <c r="G487" s="79">
        <f t="shared" si="51"/>
        <v>0</v>
      </c>
      <c r="H487" s="375">
        <f>'BVC  MS'!H486+'BVC DSP'!H487</f>
        <v>0</v>
      </c>
      <c r="I487" s="375">
        <f>'BVC  MS'!I486+'BVC DSP'!I487</f>
        <v>0</v>
      </c>
      <c r="J487" s="375">
        <f>'BVC  MS'!J486+'BVC DSP'!J487</f>
        <v>0</v>
      </c>
      <c r="K487" s="375">
        <f>'BVC  MS'!K486+'BVC DSP'!K487</f>
        <v>0</v>
      </c>
      <c r="L487" s="21"/>
      <c r="N487" s="167"/>
    </row>
    <row r="488" spans="1:14" ht="12.75">
      <c r="A488" s="367">
        <f t="shared" si="52"/>
        <v>468</v>
      </c>
      <c r="B488" s="368"/>
      <c r="C488" s="368"/>
      <c r="D488" s="369">
        <v>30</v>
      </c>
      <c r="E488" s="66" t="s">
        <v>224</v>
      </c>
      <c r="F488" s="375"/>
      <c r="G488" s="79">
        <f t="shared" si="51"/>
        <v>0</v>
      </c>
      <c r="H488" s="375">
        <f>'BVC  MS'!H487+'BVC DSP'!H488</f>
        <v>0</v>
      </c>
      <c r="I488" s="375">
        <f>'BVC  MS'!I487+'BVC DSP'!I488</f>
        <v>0</v>
      </c>
      <c r="J488" s="375">
        <f>'BVC  MS'!J487+'BVC DSP'!J488</f>
        <v>0</v>
      </c>
      <c r="K488" s="375">
        <f>'BVC  MS'!K487+'BVC DSP'!K488</f>
        <v>0</v>
      </c>
      <c r="L488" s="21"/>
      <c r="N488" s="167"/>
    </row>
    <row r="489" spans="1:14" ht="12.75">
      <c r="A489" s="367">
        <f t="shared" si="52"/>
        <v>469</v>
      </c>
      <c r="B489" s="395">
        <v>30</v>
      </c>
      <c r="C489" s="395"/>
      <c r="D489" s="396"/>
      <c r="E489" s="418" t="s">
        <v>225</v>
      </c>
      <c r="F489" s="49">
        <f>+F490</f>
        <v>0</v>
      </c>
      <c r="G489" s="50">
        <f t="shared" si="51"/>
        <v>0</v>
      </c>
      <c r="H489" s="49">
        <f aca="true" t="shared" si="53" ref="H489:K490">+H490</f>
        <v>0</v>
      </c>
      <c r="I489" s="49">
        <f t="shared" si="53"/>
        <v>0</v>
      </c>
      <c r="J489" s="49">
        <f t="shared" si="53"/>
        <v>0</v>
      </c>
      <c r="K489" s="49">
        <f t="shared" si="53"/>
        <v>0</v>
      </c>
      <c r="L489" s="21"/>
      <c r="N489" s="167"/>
    </row>
    <row r="490" spans="1:14" ht="12.75">
      <c r="A490" s="367">
        <f t="shared" si="52"/>
        <v>470</v>
      </c>
      <c r="B490" s="395"/>
      <c r="C490" s="401" t="s">
        <v>84</v>
      </c>
      <c r="D490" s="396"/>
      <c r="E490" s="418" t="s">
        <v>226</v>
      </c>
      <c r="F490" s="49">
        <f>+F491</f>
        <v>0</v>
      </c>
      <c r="G490" s="50">
        <f t="shared" si="51"/>
        <v>0</v>
      </c>
      <c r="H490" s="49">
        <f t="shared" si="53"/>
        <v>0</v>
      </c>
      <c r="I490" s="49">
        <f t="shared" si="53"/>
        <v>0</v>
      </c>
      <c r="J490" s="49">
        <f t="shared" si="53"/>
        <v>0</v>
      </c>
      <c r="K490" s="49">
        <f t="shared" si="53"/>
        <v>0</v>
      </c>
      <c r="L490" s="21"/>
      <c r="N490" s="167"/>
    </row>
    <row r="491" spans="1:14" ht="12.75">
      <c r="A491" s="367">
        <f t="shared" si="52"/>
        <v>471</v>
      </c>
      <c r="B491" s="395"/>
      <c r="C491" s="401"/>
      <c r="D491" s="402" t="s">
        <v>41</v>
      </c>
      <c r="E491" s="419" t="s">
        <v>227</v>
      </c>
      <c r="F491" s="375"/>
      <c r="G491" s="79">
        <f t="shared" si="51"/>
        <v>0</v>
      </c>
      <c r="H491" s="375">
        <f>'BVC  MS'!H490+'BVC DSP'!H491</f>
        <v>0</v>
      </c>
      <c r="I491" s="375">
        <f>'BVC  MS'!I490+'BVC DSP'!I491</f>
        <v>0</v>
      </c>
      <c r="J491" s="375">
        <f>'BVC  MS'!J490+'BVC DSP'!J491</f>
        <v>0</v>
      </c>
      <c r="K491" s="375">
        <f>'BVC  MS'!K490+'BVC DSP'!K491</f>
        <v>0</v>
      </c>
      <c r="L491" s="21"/>
      <c r="N491" s="167"/>
    </row>
    <row r="492" spans="1:14" ht="25.5">
      <c r="A492" s="367">
        <f t="shared" si="52"/>
        <v>472</v>
      </c>
      <c r="B492" s="404" t="s">
        <v>228</v>
      </c>
      <c r="C492" s="401"/>
      <c r="D492" s="402"/>
      <c r="E492" s="413" t="s">
        <v>229</v>
      </c>
      <c r="F492" s="375"/>
      <c r="G492" s="79">
        <f t="shared" si="51"/>
        <v>0</v>
      </c>
      <c r="H492" s="375">
        <f>'BVC  MS'!H491+'BVC DSP'!H492</f>
        <v>0</v>
      </c>
      <c r="I492" s="375">
        <f>'BVC  MS'!I491+'BVC DSP'!I492</f>
        <v>0</v>
      </c>
      <c r="J492" s="375">
        <f>'BVC  MS'!J491+'BVC DSP'!J492</f>
        <v>0</v>
      </c>
      <c r="K492" s="375">
        <f>'BVC  MS'!K491+'BVC DSP'!K492</f>
        <v>0</v>
      </c>
      <c r="L492" s="21"/>
      <c r="N492" s="167"/>
    </row>
    <row r="493" spans="1:14" ht="12.75">
      <c r="A493" s="367">
        <f t="shared" si="52"/>
        <v>473</v>
      </c>
      <c r="B493" s="395">
        <v>57</v>
      </c>
      <c r="C493" s="401"/>
      <c r="D493" s="402"/>
      <c r="E493" s="418" t="s">
        <v>230</v>
      </c>
      <c r="F493" s="109">
        <f>F494+F495</f>
        <v>0</v>
      </c>
      <c r="G493" s="168">
        <f t="shared" si="51"/>
        <v>0</v>
      </c>
      <c r="H493" s="109">
        <f>H494+H495</f>
        <v>0</v>
      </c>
      <c r="I493" s="109">
        <f>I494+I495</f>
        <v>0</v>
      </c>
      <c r="J493" s="109">
        <f>J494</f>
        <v>0</v>
      </c>
      <c r="K493" s="109">
        <f>K494+K495</f>
        <v>0</v>
      </c>
      <c r="L493" s="21"/>
      <c r="N493" s="167"/>
    </row>
    <row r="494" spans="1:14" ht="12.75">
      <c r="A494" s="367">
        <f t="shared" si="52"/>
        <v>474</v>
      </c>
      <c r="B494" s="395"/>
      <c r="C494" s="401" t="s">
        <v>47</v>
      </c>
      <c r="D494" s="402"/>
      <c r="E494" s="418" t="s">
        <v>231</v>
      </c>
      <c r="F494" s="109"/>
      <c r="G494" s="168">
        <f t="shared" si="51"/>
        <v>0</v>
      </c>
      <c r="H494" s="109"/>
      <c r="I494" s="109"/>
      <c r="J494" s="109"/>
      <c r="K494" s="109"/>
      <c r="L494" s="21"/>
      <c r="N494" s="167"/>
    </row>
    <row r="495" spans="1:14" ht="12.75">
      <c r="A495" s="367">
        <f t="shared" si="52"/>
        <v>475</v>
      </c>
      <c r="B495" s="395"/>
      <c r="C495" s="401" t="s">
        <v>80</v>
      </c>
      <c r="D495" s="402"/>
      <c r="E495" s="419" t="s">
        <v>232</v>
      </c>
      <c r="F495" s="109">
        <f>F496+F497+F498+F499</f>
        <v>0</v>
      </c>
      <c r="G495" s="168">
        <f t="shared" si="51"/>
        <v>0</v>
      </c>
      <c r="H495" s="109">
        <f>H496+H497+H498+H499</f>
        <v>0</v>
      </c>
      <c r="I495" s="109">
        <f>I496+I497+I498+I499</f>
        <v>0</v>
      </c>
      <c r="J495" s="109">
        <f>J496+J497+J498+J499</f>
        <v>0</v>
      </c>
      <c r="K495" s="109">
        <f>K496+K497+K498+K499</f>
        <v>0</v>
      </c>
      <c r="L495" s="21"/>
      <c r="N495" s="167"/>
    </row>
    <row r="496" spans="1:14" ht="12.75">
      <c r="A496" s="367">
        <f t="shared" si="52"/>
        <v>476</v>
      </c>
      <c r="B496" s="395"/>
      <c r="C496" s="401"/>
      <c r="D496" s="402" t="s">
        <v>47</v>
      </c>
      <c r="E496" s="419" t="s">
        <v>233</v>
      </c>
      <c r="F496" s="423"/>
      <c r="G496" s="424">
        <f t="shared" si="51"/>
        <v>0</v>
      </c>
      <c r="H496" s="375">
        <f>'BVC  MS'!H495+'BVC DSP'!H496</f>
        <v>0</v>
      </c>
      <c r="I496" s="375">
        <f>'BVC  MS'!I495+'BVC DSP'!I496</f>
        <v>0</v>
      </c>
      <c r="J496" s="375">
        <f>'BVC  MS'!J495+'BVC DSP'!J496</f>
        <v>0</v>
      </c>
      <c r="K496" s="375">
        <f>'BVC  MS'!K495+'BVC DSP'!K496</f>
        <v>0</v>
      </c>
      <c r="L496" s="21"/>
      <c r="N496" s="167"/>
    </row>
    <row r="497" spans="1:14" ht="12.75">
      <c r="A497" s="367">
        <f t="shared" si="52"/>
        <v>477</v>
      </c>
      <c r="B497" s="395"/>
      <c r="C497" s="401"/>
      <c r="D497" s="402" t="s">
        <v>80</v>
      </c>
      <c r="E497" s="419" t="s">
        <v>234</v>
      </c>
      <c r="F497" s="423"/>
      <c r="G497" s="424">
        <f t="shared" si="51"/>
        <v>0</v>
      </c>
      <c r="H497" s="375">
        <f>'BVC  MS'!H496+'BVC DSP'!H497</f>
        <v>0</v>
      </c>
      <c r="I497" s="375">
        <f>'BVC  MS'!I496+'BVC DSP'!I497</f>
        <v>0</v>
      </c>
      <c r="J497" s="375">
        <f>'BVC  MS'!J496+'BVC DSP'!J497</f>
        <v>0</v>
      </c>
      <c r="K497" s="375">
        <f>'BVC  MS'!K496+'BVC DSP'!K497</f>
        <v>0</v>
      </c>
      <c r="L497" s="21"/>
      <c r="N497" s="167"/>
    </row>
    <row r="498" spans="1:14" ht="12.75">
      <c r="A498" s="367">
        <f t="shared" si="52"/>
        <v>478</v>
      </c>
      <c r="B498" s="395"/>
      <c r="C498" s="401"/>
      <c r="D498" s="402" t="s">
        <v>84</v>
      </c>
      <c r="E498" s="419" t="s">
        <v>235</v>
      </c>
      <c r="F498" s="423"/>
      <c r="G498" s="424">
        <f t="shared" si="51"/>
        <v>0</v>
      </c>
      <c r="H498" s="375">
        <f>'BVC  MS'!H497+'BVC DSP'!H498</f>
        <v>0</v>
      </c>
      <c r="I498" s="375">
        <f>'BVC  MS'!I497+'BVC DSP'!I498</f>
        <v>0</v>
      </c>
      <c r="J498" s="375">
        <f>'BVC  MS'!J497+'BVC DSP'!J498</f>
        <v>0</v>
      </c>
      <c r="K498" s="375">
        <f>'BVC  MS'!K497+'BVC DSP'!K498</f>
        <v>0</v>
      </c>
      <c r="L498" s="21"/>
      <c r="N498" s="167"/>
    </row>
    <row r="499" spans="1:14" ht="12.75">
      <c r="A499" s="367">
        <f t="shared" si="52"/>
        <v>479</v>
      </c>
      <c r="B499" s="395"/>
      <c r="C499" s="401"/>
      <c r="D499" s="402" t="s">
        <v>108</v>
      </c>
      <c r="E499" s="419" t="s">
        <v>236</v>
      </c>
      <c r="F499" s="423"/>
      <c r="G499" s="424">
        <f t="shared" si="51"/>
        <v>0</v>
      </c>
      <c r="H499" s="375">
        <f>'BVC  MS'!H498+'BVC DSP'!H499</f>
        <v>0</v>
      </c>
      <c r="I499" s="375">
        <f>'BVC  MS'!I498+'BVC DSP'!I499</f>
        <v>0</v>
      </c>
      <c r="J499" s="375">
        <f>'BVC  MS'!J498+'BVC DSP'!J499</f>
        <v>0</v>
      </c>
      <c r="K499" s="375">
        <f>'BVC  MS'!K498+'BVC DSP'!K499</f>
        <v>0</v>
      </c>
      <c r="L499" s="21"/>
      <c r="N499" s="167"/>
    </row>
    <row r="500" spans="1:14" ht="12.75">
      <c r="A500" s="367">
        <f>A499+1</f>
        <v>480</v>
      </c>
      <c r="B500" s="368">
        <v>70</v>
      </c>
      <c r="C500" s="368"/>
      <c r="D500" s="369"/>
      <c r="E500" s="85" t="s">
        <v>288</v>
      </c>
      <c r="F500" s="49">
        <f>+F501</f>
        <v>0</v>
      </c>
      <c r="G500" s="50">
        <f t="shared" si="51"/>
        <v>5762</v>
      </c>
      <c r="H500" s="166">
        <f>+H501</f>
        <v>382</v>
      </c>
      <c r="I500" s="166">
        <f>+I501</f>
        <v>3238</v>
      </c>
      <c r="J500" s="166">
        <f>+J501</f>
        <v>1550</v>
      </c>
      <c r="K500" s="166">
        <f>+K501</f>
        <v>592</v>
      </c>
      <c r="L500" s="21"/>
      <c r="N500" s="167"/>
    </row>
    <row r="501" spans="1:14" ht="12.75">
      <c r="A501" s="367">
        <f t="shared" si="52"/>
        <v>481</v>
      </c>
      <c r="B501" s="368">
        <v>71</v>
      </c>
      <c r="C501" s="368"/>
      <c r="D501" s="369"/>
      <c r="E501" s="85" t="s">
        <v>238</v>
      </c>
      <c r="F501" s="49">
        <f>+F502+F507</f>
        <v>0</v>
      </c>
      <c r="G501" s="50">
        <f t="shared" si="51"/>
        <v>5762</v>
      </c>
      <c r="H501" s="166">
        <f>+H502+H507</f>
        <v>382</v>
      </c>
      <c r="I501" s="166">
        <f>+I502+I507</f>
        <v>3238</v>
      </c>
      <c r="J501" s="166">
        <f>+J502+J507</f>
        <v>1550</v>
      </c>
      <c r="K501" s="166">
        <f>+K502+K507</f>
        <v>592</v>
      </c>
      <c r="L501" s="21"/>
      <c r="N501" s="167"/>
    </row>
    <row r="502" spans="1:14" ht="12.75">
      <c r="A502" s="367">
        <f t="shared" si="52"/>
        <v>482</v>
      </c>
      <c r="B502" s="368"/>
      <c r="C502" s="377" t="s">
        <v>47</v>
      </c>
      <c r="D502" s="369"/>
      <c r="E502" s="85" t="s">
        <v>77</v>
      </c>
      <c r="F502" s="49">
        <f>+F503+F504+F505+F506</f>
        <v>0</v>
      </c>
      <c r="G502" s="50">
        <f t="shared" si="51"/>
        <v>0</v>
      </c>
      <c r="H502" s="166">
        <f>+H503+H504+H505+H506</f>
        <v>0</v>
      </c>
      <c r="I502" s="166">
        <f>+I503+I504+I505+I506</f>
        <v>0</v>
      </c>
      <c r="J502" s="166">
        <f>+J503+J504+J505+J506</f>
        <v>0</v>
      </c>
      <c r="K502" s="166">
        <f>+K503+K504+K505+K506</f>
        <v>0</v>
      </c>
      <c r="L502" s="21"/>
      <c r="N502" s="167"/>
    </row>
    <row r="503" spans="1:14" ht="12.75">
      <c r="A503" s="367">
        <f t="shared" si="52"/>
        <v>483</v>
      </c>
      <c r="B503" s="368"/>
      <c r="C503" s="368"/>
      <c r="D503" s="379" t="s">
        <v>47</v>
      </c>
      <c r="E503" s="66" t="s">
        <v>239</v>
      </c>
      <c r="F503" s="375"/>
      <c r="G503" s="79">
        <f t="shared" si="51"/>
        <v>0</v>
      </c>
      <c r="H503" s="375">
        <f>'BVC  MS'!H502+'BVC DSP'!H503</f>
        <v>0</v>
      </c>
      <c r="I503" s="375">
        <f>'BVC  MS'!I502+'BVC DSP'!I503</f>
        <v>0</v>
      </c>
      <c r="J503" s="375">
        <f>'BVC  MS'!J502+'BVC DSP'!J503</f>
        <v>0</v>
      </c>
      <c r="K503" s="375">
        <f>'BVC  MS'!K502+'BVC DSP'!K503</f>
        <v>0</v>
      </c>
      <c r="L503" s="21"/>
      <c r="N503" s="167"/>
    </row>
    <row r="504" spans="1:14" ht="12.75">
      <c r="A504" s="367">
        <f t="shared" si="52"/>
        <v>484</v>
      </c>
      <c r="B504" s="368"/>
      <c r="C504" s="368"/>
      <c r="D504" s="379" t="s">
        <v>80</v>
      </c>
      <c r="E504" s="66" t="s">
        <v>81</v>
      </c>
      <c r="F504" s="375"/>
      <c r="G504" s="79">
        <f t="shared" si="51"/>
        <v>0</v>
      </c>
      <c r="H504" s="375">
        <f>'BVC  MS'!H503+'BVC DSP'!H504</f>
        <v>0</v>
      </c>
      <c r="I504" s="375">
        <f>'BVC  MS'!I503+'BVC DSP'!I504</f>
        <v>0</v>
      </c>
      <c r="J504" s="375">
        <f>'BVC  MS'!J503+'BVC DSP'!J504</f>
        <v>0</v>
      </c>
      <c r="K504" s="375">
        <f>'BVC  MS'!K503+'BVC DSP'!K504</f>
        <v>0</v>
      </c>
      <c r="L504" s="21"/>
      <c r="N504" s="167"/>
    </row>
    <row r="505" spans="1:14" ht="12.75">
      <c r="A505" s="367">
        <f t="shared" si="52"/>
        <v>485</v>
      </c>
      <c r="B505" s="368"/>
      <c r="C505" s="368"/>
      <c r="D505" s="379" t="s">
        <v>84</v>
      </c>
      <c r="E505" s="66" t="s">
        <v>245</v>
      </c>
      <c r="F505" s="375"/>
      <c r="G505" s="79">
        <f t="shared" si="51"/>
        <v>0</v>
      </c>
      <c r="H505" s="375">
        <f>'BVC  MS'!H504+'BVC DSP'!H505</f>
        <v>0</v>
      </c>
      <c r="I505" s="375">
        <f>'BVC  MS'!I504+'BVC DSP'!I505</f>
        <v>0</v>
      </c>
      <c r="J505" s="375">
        <f>'BVC  MS'!J504+'BVC DSP'!J505</f>
        <v>0</v>
      </c>
      <c r="K505" s="375">
        <f>'BVC  MS'!K504+'BVC DSP'!K505</f>
        <v>0</v>
      </c>
      <c r="L505" s="21"/>
      <c r="N505" s="167"/>
    </row>
    <row r="506" spans="1:14" ht="12.75">
      <c r="A506" s="367">
        <f t="shared" si="52"/>
        <v>486</v>
      </c>
      <c r="B506" s="368"/>
      <c r="C506" s="368"/>
      <c r="D506" s="369">
        <v>30</v>
      </c>
      <c r="E506" s="66" t="s">
        <v>275</v>
      </c>
      <c r="F506" s="375"/>
      <c r="G506" s="79">
        <f t="shared" si="51"/>
        <v>0</v>
      </c>
      <c r="H506" s="375">
        <f>'BVC  MS'!H505+'BVC DSP'!H506</f>
        <v>0</v>
      </c>
      <c r="I506" s="375">
        <f>'BVC  MS'!I505+'BVC DSP'!I506</f>
        <v>0</v>
      </c>
      <c r="J506" s="375">
        <f>'BVC  MS'!J505+'BVC DSP'!J506</f>
        <v>0</v>
      </c>
      <c r="K506" s="375">
        <f>'BVC  MS'!K505+'BVC DSP'!K506</f>
        <v>0</v>
      </c>
      <c r="L506" s="21"/>
      <c r="N506" s="167"/>
    </row>
    <row r="507" spans="1:14" ht="12.75">
      <c r="A507" s="367">
        <f t="shared" si="52"/>
        <v>487</v>
      </c>
      <c r="B507" s="368"/>
      <c r="C507" s="377" t="s">
        <v>84</v>
      </c>
      <c r="D507" s="369"/>
      <c r="E507" s="66" t="s">
        <v>243</v>
      </c>
      <c r="F507" s="375"/>
      <c r="G507" s="79">
        <f t="shared" si="51"/>
        <v>5762</v>
      </c>
      <c r="H507" s="375">
        <f>'BVC  MS'!H506+'BVC DSP'!H507</f>
        <v>382</v>
      </c>
      <c r="I507" s="375">
        <f>'BVC  MS'!I506+'BVC DSP'!I507</f>
        <v>3238</v>
      </c>
      <c r="J507" s="375">
        <f>'BVC  MS'!J506+'BVC DSP'!J507</f>
        <v>1550</v>
      </c>
      <c r="K507" s="375">
        <f>'BVC  MS'!K506+'BVC DSP'!K507</f>
        <v>592</v>
      </c>
      <c r="L507" s="21"/>
      <c r="M507" s="207"/>
      <c r="N507" s="167"/>
    </row>
    <row r="508" spans="1:14" ht="12.75">
      <c r="A508" s="367">
        <f t="shared" si="52"/>
        <v>488</v>
      </c>
      <c r="B508" s="368"/>
      <c r="C508" s="368"/>
      <c r="D508" s="369"/>
      <c r="E508" s="85" t="s">
        <v>244</v>
      </c>
      <c r="F508" s="49">
        <f>+F509+F510+F511</f>
        <v>0</v>
      </c>
      <c r="G508" s="50">
        <f t="shared" si="51"/>
        <v>0</v>
      </c>
      <c r="H508" s="49">
        <f>+H509+H510+H511</f>
        <v>0</v>
      </c>
      <c r="I508" s="49">
        <f>+I509+I510+I511</f>
        <v>0</v>
      </c>
      <c r="J508" s="49">
        <f>+J509+J510+J511</f>
        <v>0</v>
      </c>
      <c r="K508" s="124">
        <f>+K509+K510+K511</f>
        <v>0</v>
      </c>
      <c r="L508" s="21"/>
      <c r="N508" s="167"/>
    </row>
    <row r="509" spans="1:14" ht="12.75">
      <c r="A509" s="367">
        <f t="shared" si="52"/>
        <v>489</v>
      </c>
      <c r="B509" s="368">
        <v>71</v>
      </c>
      <c r="C509" s="377" t="s">
        <v>47</v>
      </c>
      <c r="D509" s="379" t="s">
        <v>80</v>
      </c>
      <c r="E509" s="66" t="s">
        <v>81</v>
      </c>
      <c r="F509" s="375"/>
      <c r="G509" s="79">
        <f t="shared" si="51"/>
        <v>0</v>
      </c>
      <c r="H509" s="375">
        <f>'BVC  MS'!H508+'BVC DSP'!H509</f>
        <v>0</v>
      </c>
      <c r="I509" s="375">
        <f>'BVC  MS'!I508+'BVC DSP'!I509</f>
        <v>0</v>
      </c>
      <c r="J509" s="375">
        <f>'BVC  MS'!J508+'BVC DSP'!J509</f>
        <v>0</v>
      </c>
      <c r="K509" s="375">
        <f>'BVC  MS'!K508+'BVC DSP'!K509</f>
        <v>0</v>
      </c>
      <c r="L509" s="21"/>
      <c r="N509" s="167"/>
    </row>
    <row r="510" spans="1:14" ht="12.75">
      <c r="A510" s="367">
        <f t="shared" si="52"/>
        <v>490</v>
      </c>
      <c r="B510" s="368"/>
      <c r="C510" s="368"/>
      <c r="D510" s="379" t="s">
        <v>84</v>
      </c>
      <c r="E510" s="66" t="s">
        <v>245</v>
      </c>
      <c r="F510" s="375"/>
      <c r="G510" s="79">
        <f t="shared" si="51"/>
        <v>0</v>
      </c>
      <c r="H510" s="375">
        <f>'BVC  MS'!H509+'BVC DSP'!H510</f>
        <v>0</v>
      </c>
      <c r="I510" s="375">
        <f>'BVC  MS'!I509+'BVC DSP'!I510</f>
        <v>0</v>
      </c>
      <c r="J510" s="375">
        <f>'BVC  MS'!J509+'BVC DSP'!J510</f>
        <v>0</v>
      </c>
      <c r="K510" s="375">
        <f>'BVC  MS'!K509+'BVC DSP'!K510</f>
        <v>0</v>
      </c>
      <c r="L510" s="21"/>
      <c r="N510" s="167"/>
    </row>
    <row r="511" spans="1:14" ht="12.75">
      <c r="A511" s="367">
        <f t="shared" si="52"/>
        <v>491</v>
      </c>
      <c r="B511" s="368"/>
      <c r="C511" s="368"/>
      <c r="D511" s="369">
        <v>30</v>
      </c>
      <c r="E511" s="97" t="s">
        <v>242</v>
      </c>
      <c r="F511" s="375"/>
      <c r="G511" s="79">
        <f t="shared" si="51"/>
        <v>0</v>
      </c>
      <c r="H511" s="375">
        <f>'BVC  MS'!H510+'BVC DSP'!H511</f>
        <v>0</v>
      </c>
      <c r="I511" s="375">
        <f>'BVC  MS'!I510+'BVC DSP'!I511</f>
        <v>0</v>
      </c>
      <c r="J511" s="375">
        <f>'BVC  MS'!J510+'BVC DSP'!J511</f>
        <v>0</v>
      </c>
      <c r="K511" s="375">
        <f>'BVC  MS'!K510+'BVC DSP'!K511</f>
        <v>0</v>
      </c>
      <c r="L511" s="21"/>
      <c r="N511" s="167"/>
    </row>
    <row r="512" spans="1:14" ht="12.75">
      <c r="A512" s="367">
        <f t="shared" si="52"/>
        <v>492</v>
      </c>
      <c r="B512" s="368"/>
      <c r="C512" s="368"/>
      <c r="D512" s="369"/>
      <c r="E512" s="66" t="s">
        <v>246</v>
      </c>
      <c r="F512" s="168">
        <f>F514</f>
        <v>0</v>
      </c>
      <c r="G512" s="50">
        <f t="shared" si="51"/>
        <v>7016</v>
      </c>
      <c r="H512" s="168">
        <f>H514</f>
        <v>587</v>
      </c>
      <c r="I512" s="168">
        <f>I514</f>
        <v>3603</v>
      </c>
      <c r="J512" s="168">
        <f>J514</f>
        <v>1905</v>
      </c>
      <c r="K512" s="168">
        <f>K514</f>
        <v>921</v>
      </c>
      <c r="L512" s="21"/>
      <c r="N512" s="167"/>
    </row>
    <row r="513" spans="1:14" ht="12.75">
      <c r="A513" s="367"/>
      <c r="B513" s="368" t="s">
        <v>18</v>
      </c>
      <c r="C513" s="368" t="s">
        <v>247</v>
      </c>
      <c r="D513" s="86" t="s">
        <v>20</v>
      </c>
      <c r="E513" s="66"/>
      <c r="F513" s="109"/>
      <c r="G513" s="79">
        <f t="shared" si="51"/>
        <v>0</v>
      </c>
      <c r="H513" s="109"/>
      <c r="I513" s="109"/>
      <c r="J513" s="109"/>
      <c r="K513" s="420"/>
      <c r="L513" s="21"/>
      <c r="N513" s="167"/>
    </row>
    <row r="514" spans="1:14" ht="12.75">
      <c r="A514" s="367">
        <f>A512+1</f>
        <v>493</v>
      </c>
      <c r="B514" s="368"/>
      <c r="C514" s="368"/>
      <c r="D514" s="369"/>
      <c r="E514" s="85" t="s">
        <v>295</v>
      </c>
      <c r="F514" s="49">
        <f>+F515+F518+F519</f>
        <v>0</v>
      </c>
      <c r="G514" s="50">
        <f t="shared" si="51"/>
        <v>7016</v>
      </c>
      <c r="H514" s="49">
        <f>+H515+H518+H519+H523</f>
        <v>587</v>
      </c>
      <c r="I514" s="49">
        <f>+I515+I518+I519+I523</f>
        <v>3603</v>
      </c>
      <c r="J514" s="49">
        <f>+J515+J518+J519+J523</f>
        <v>1905</v>
      </c>
      <c r="K514" s="49">
        <f>+K515+K518+K519+K523</f>
        <v>921</v>
      </c>
      <c r="L514" s="21"/>
      <c r="N514" s="167"/>
    </row>
    <row r="515" spans="1:14" ht="12.75">
      <c r="A515" s="367">
        <f t="shared" si="52"/>
        <v>494</v>
      </c>
      <c r="B515" s="368"/>
      <c r="C515" s="377" t="s">
        <v>108</v>
      </c>
      <c r="D515" s="369"/>
      <c r="E515" s="59" t="s">
        <v>250</v>
      </c>
      <c r="F515" s="49">
        <f>+F516+F517</f>
        <v>0</v>
      </c>
      <c r="G515" s="50">
        <f t="shared" si="51"/>
        <v>0</v>
      </c>
      <c r="H515" s="49">
        <f>+H516+H517</f>
        <v>0</v>
      </c>
      <c r="I515" s="49">
        <f>+I516+I517</f>
        <v>0</v>
      </c>
      <c r="J515" s="49">
        <f>+J516+J517</f>
        <v>0</v>
      </c>
      <c r="K515" s="124">
        <f>+K516+K517</f>
        <v>0</v>
      </c>
      <c r="L515" s="21"/>
      <c r="N515" s="167"/>
    </row>
    <row r="516" spans="1:14" ht="12.75">
      <c r="A516" s="367">
        <f t="shared" si="52"/>
        <v>495</v>
      </c>
      <c r="B516" s="368"/>
      <c r="C516" s="368"/>
      <c r="D516" s="379" t="s">
        <v>80</v>
      </c>
      <c r="E516" s="66" t="s">
        <v>251</v>
      </c>
      <c r="F516" s="375"/>
      <c r="G516" s="79">
        <f t="shared" si="51"/>
        <v>0</v>
      </c>
      <c r="H516" s="375">
        <f>'BVC  MS'!H515+'BVC DSP'!H516</f>
        <v>0</v>
      </c>
      <c r="I516" s="375">
        <f>'BVC  MS'!I515+'BVC DSP'!I516</f>
        <v>0</v>
      </c>
      <c r="J516" s="375">
        <f>'BVC  MS'!J515+'BVC DSP'!J516</f>
        <v>0</v>
      </c>
      <c r="K516" s="375">
        <f>'BVC  MS'!K515+'BVC DSP'!K516</f>
        <v>0</v>
      </c>
      <c r="L516" s="21"/>
      <c r="N516" s="167"/>
    </row>
    <row r="517" spans="1:14" ht="12.75">
      <c r="A517" s="367">
        <f t="shared" si="52"/>
        <v>496</v>
      </c>
      <c r="B517" s="368"/>
      <c r="C517" s="368"/>
      <c r="D517" s="369">
        <v>50</v>
      </c>
      <c r="E517" s="66" t="s">
        <v>278</v>
      </c>
      <c r="F517" s="375"/>
      <c r="G517" s="79">
        <f t="shared" si="51"/>
        <v>0</v>
      </c>
      <c r="H517" s="375">
        <f>'BVC  MS'!H516+'BVC DSP'!H517</f>
        <v>0</v>
      </c>
      <c r="I517" s="375">
        <f>'BVC  MS'!I516+'BVC DSP'!I517</f>
        <v>0</v>
      </c>
      <c r="J517" s="375">
        <f>'BVC  MS'!J516+'BVC DSP'!J517</f>
        <v>0</v>
      </c>
      <c r="K517" s="375">
        <f>'BVC  MS'!K516+'BVC DSP'!K517</f>
        <v>0</v>
      </c>
      <c r="L517" s="21"/>
      <c r="N517" s="167"/>
    </row>
    <row r="518" spans="1:14" ht="12.75">
      <c r="A518" s="367">
        <f t="shared" si="52"/>
        <v>497</v>
      </c>
      <c r="B518" s="368"/>
      <c r="C518" s="377" t="s">
        <v>41</v>
      </c>
      <c r="D518" s="369"/>
      <c r="E518" s="59" t="s">
        <v>253</v>
      </c>
      <c r="F518" s="375"/>
      <c r="G518" s="79">
        <f t="shared" si="51"/>
        <v>0</v>
      </c>
      <c r="H518" s="375">
        <f>'BVC  MS'!H517+'BVC DSP'!H518</f>
        <v>0</v>
      </c>
      <c r="I518" s="375">
        <f>'BVC  MS'!I517+'BVC DSP'!I518</f>
        <v>0</v>
      </c>
      <c r="J518" s="375">
        <f>'BVC  MS'!J517+'BVC DSP'!J518</f>
        <v>0</v>
      </c>
      <c r="K518" s="375">
        <f>'BVC  MS'!K517+'BVC DSP'!K518</f>
        <v>0</v>
      </c>
      <c r="L518" s="21"/>
      <c r="N518" s="167"/>
    </row>
    <row r="519" spans="1:14" ht="12.75">
      <c r="A519" s="367">
        <f t="shared" si="52"/>
        <v>498</v>
      </c>
      <c r="B519" s="368"/>
      <c r="C519" s="377" t="s">
        <v>154</v>
      </c>
      <c r="D519" s="369"/>
      <c r="E519" s="59" t="s">
        <v>289</v>
      </c>
      <c r="F519" s="49">
        <f>+F520+F521</f>
        <v>0</v>
      </c>
      <c r="G519" s="50">
        <f t="shared" si="51"/>
        <v>7016</v>
      </c>
      <c r="H519" s="49">
        <f>+H520+H521+H522</f>
        <v>587</v>
      </c>
      <c r="I519" s="49">
        <f>+I520+I521+I522</f>
        <v>3603</v>
      </c>
      <c r="J519" s="49">
        <f>+J520+J521+J522</f>
        <v>1905</v>
      </c>
      <c r="K519" s="49">
        <f>+K520+K521+K522</f>
        <v>921</v>
      </c>
      <c r="L519" s="21"/>
      <c r="N519" s="167"/>
    </row>
    <row r="520" spans="1:14" ht="12.75">
      <c r="A520" s="367">
        <f t="shared" si="52"/>
        <v>499</v>
      </c>
      <c r="B520" s="368"/>
      <c r="C520" s="368"/>
      <c r="D520" s="379" t="s">
        <v>47</v>
      </c>
      <c r="E520" s="66" t="s">
        <v>255</v>
      </c>
      <c r="F520" s="375">
        <v>0</v>
      </c>
      <c r="G520" s="50">
        <f t="shared" si="51"/>
        <v>7016</v>
      </c>
      <c r="H520" s="375">
        <v>587</v>
      </c>
      <c r="I520" s="375">
        <v>3603</v>
      </c>
      <c r="J520" s="375">
        <v>1905</v>
      </c>
      <c r="K520" s="375">
        <v>921</v>
      </c>
      <c r="L520" s="21"/>
      <c r="N520" s="167"/>
    </row>
    <row r="521" spans="1:21" ht="12.75">
      <c r="A521" s="367">
        <f t="shared" si="52"/>
        <v>500</v>
      </c>
      <c r="B521" s="368"/>
      <c r="C521" s="368"/>
      <c r="D521" s="379" t="s">
        <v>154</v>
      </c>
      <c r="E521" s="66" t="s">
        <v>296</v>
      </c>
      <c r="F521" s="375"/>
      <c r="G521" s="79">
        <f t="shared" si="51"/>
        <v>0</v>
      </c>
      <c r="H521" s="375">
        <f>'BVC  MS'!H520+'BVC DSP'!H521</f>
        <v>0</v>
      </c>
      <c r="I521" s="375">
        <f>'BVC  MS'!I520+'BVC DSP'!I521</f>
        <v>0</v>
      </c>
      <c r="J521" s="375">
        <f>'BVC  MS'!J520+'BVC DSP'!J521</f>
        <v>0</v>
      </c>
      <c r="K521" s="375">
        <f>'BVC  MS'!K520+'BVC DSP'!K521</f>
        <v>0</v>
      </c>
      <c r="L521" s="21"/>
      <c r="N521" s="217"/>
      <c r="O521" s="123"/>
      <c r="P521" s="214"/>
      <c r="Q521" s="123"/>
      <c r="R521" s="123"/>
      <c r="S521" s="123"/>
      <c r="T521" s="123"/>
      <c r="U521" s="123"/>
    </row>
    <row r="522" spans="1:21" ht="12.75">
      <c r="A522" s="367">
        <f t="shared" si="52"/>
        <v>501</v>
      </c>
      <c r="B522" s="368"/>
      <c r="C522" s="379">
        <v>10</v>
      </c>
      <c r="D522" s="379"/>
      <c r="E522" s="66" t="s">
        <v>290</v>
      </c>
      <c r="F522" s="375"/>
      <c r="G522" s="79">
        <f t="shared" si="51"/>
        <v>0</v>
      </c>
      <c r="H522" s="375">
        <f>'BVC  MS'!H521+'BVC DSP'!H522</f>
        <v>0</v>
      </c>
      <c r="I522" s="375">
        <f>'BVC  MS'!I521+'BVC DSP'!I522</f>
        <v>0</v>
      </c>
      <c r="J522" s="375">
        <f>'BVC  MS'!J521+'BVC DSP'!J522</f>
        <v>0</v>
      </c>
      <c r="K522" s="375">
        <f>'BVC  MS'!K521+'BVC DSP'!K522</f>
        <v>0</v>
      </c>
      <c r="L522" s="21"/>
      <c r="N522" s="217"/>
      <c r="O522" s="123"/>
      <c r="P522" s="123"/>
      <c r="Q522" s="123"/>
      <c r="R522" s="123"/>
      <c r="S522" s="123"/>
      <c r="T522" s="123"/>
      <c r="U522" s="123"/>
    </row>
    <row r="523" spans="1:21" ht="12.75">
      <c r="A523" s="367">
        <f t="shared" si="52"/>
        <v>502</v>
      </c>
      <c r="B523" s="368"/>
      <c r="C523" s="421">
        <v>50</v>
      </c>
      <c r="D523" s="421"/>
      <c r="E523" s="59" t="s">
        <v>291</v>
      </c>
      <c r="F523" s="109"/>
      <c r="G523" s="50">
        <f t="shared" si="51"/>
        <v>0</v>
      </c>
      <c r="H523" s="168">
        <f>H524+H525</f>
        <v>0</v>
      </c>
      <c r="I523" s="168">
        <f>I524+I525</f>
        <v>0</v>
      </c>
      <c r="J523" s="168">
        <f>J524+J525</f>
        <v>0</v>
      </c>
      <c r="K523" s="168">
        <f>K524+K525</f>
        <v>0</v>
      </c>
      <c r="L523" s="21"/>
      <c r="N523" s="217"/>
      <c r="O523" s="123"/>
      <c r="P523" s="123"/>
      <c r="Q523" s="123"/>
      <c r="R523" s="123"/>
      <c r="S523" s="123"/>
      <c r="T523" s="123"/>
      <c r="U523" s="123"/>
    </row>
    <row r="524" spans="1:21" ht="12.75">
      <c r="A524" s="367">
        <f t="shared" si="52"/>
        <v>503</v>
      </c>
      <c r="B524" s="368"/>
      <c r="C524" s="368"/>
      <c r="D524" s="379">
        <v>1</v>
      </c>
      <c r="E524" s="66" t="s">
        <v>259</v>
      </c>
      <c r="F524" s="375"/>
      <c r="G524" s="79">
        <f t="shared" si="51"/>
        <v>0</v>
      </c>
      <c r="H524" s="375">
        <f>'BVC  MS'!H523+'BVC DSP'!H524</f>
        <v>0</v>
      </c>
      <c r="I524" s="375">
        <f>'BVC  MS'!I523+'BVC DSP'!I524</f>
        <v>0</v>
      </c>
      <c r="J524" s="375">
        <f>'BVC  MS'!J523+'BVC DSP'!J524</f>
        <v>0</v>
      </c>
      <c r="K524" s="375">
        <f>'BVC  MS'!K523+'BVC DSP'!K524</f>
        <v>0</v>
      </c>
      <c r="L524" s="21"/>
      <c r="N524" s="217"/>
      <c r="O524" s="123"/>
      <c r="P524" s="123"/>
      <c r="Q524" s="123"/>
      <c r="R524" s="123"/>
      <c r="S524" s="123"/>
      <c r="T524" s="123"/>
      <c r="U524" s="123"/>
    </row>
    <row r="525" spans="1:21" ht="12.75">
      <c r="A525" s="367">
        <f t="shared" si="52"/>
        <v>504</v>
      </c>
      <c r="B525" s="368"/>
      <c r="C525" s="368"/>
      <c r="D525" s="379">
        <v>50</v>
      </c>
      <c r="E525" s="66" t="s">
        <v>292</v>
      </c>
      <c r="F525" s="375"/>
      <c r="G525" s="79">
        <f t="shared" si="51"/>
        <v>0</v>
      </c>
      <c r="H525" s="375">
        <f>'BVC  MS'!H524+'BVC DSP'!H525</f>
        <v>0</v>
      </c>
      <c r="I525" s="375">
        <f>'BVC  MS'!I524+'BVC DSP'!I525</f>
        <v>0</v>
      </c>
      <c r="J525" s="375">
        <f>'BVC  MS'!J524+'BVC DSP'!J525</f>
        <v>0</v>
      </c>
      <c r="K525" s="375">
        <f>'BVC  MS'!K524+'BVC DSP'!K525</f>
        <v>0</v>
      </c>
      <c r="L525" s="21"/>
      <c r="N525" s="217"/>
      <c r="O525" s="214"/>
      <c r="P525" s="214"/>
      <c r="Q525" s="214"/>
      <c r="R525" s="214"/>
      <c r="S525" s="123"/>
      <c r="T525" s="123"/>
      <c r="U525" s="123"/>
    </row>
    <row r="526" spans="1:21" ht="51">
      <c r="A526" s="367">
        <f t="shared" si="52"/>
        <v>505</v>
      </c>
      <c r="B526" s="368"/>
      <c r="C526" s="368"/>
      <c r="D526" s="369"/>
      <c r="E526" s="425" t="s">
        <v>297</v>
      </c>
      <c r="F526" s="49">
        <f>+F528+F615</f>
        <v>0</v>
      </c>
      <c r="G526" s="50">
        <f t="shared" si="51"/>
        <v>25785</v>
      </c>
      <c r="H526" s="49">
        <f>+H528+H615</f>
        <v>8212</v>
      </c>
      <c r="I526" s="49">
        <f>+I528+I615</f>
        <v>11839</v>
      </c>
      <c r="J526" s="49">
        <f>+J528+J615</f>
        <v>3572</v>
      </c>
      <c r="K526" s="124">
        <f>+K528+K615</f>
        <v>2162</v>
      </c>
      <c r="L526" s="21">
        <v>25785</v>
      </c>
      <c r="M526" s="169">
        <v>8212</v>
      </c>
      <c r="N526" s="217">
        <v>11839</v>
      </c>
      <c r="O526" s="123">
        <v>3572</v>
      </c>
      <c r="P526" s="123">
        <v>2162</v>
      </c>
      <c r="Q526" s="123"/>
      <c r="R526" s="123"/>
      <c r="S526" s="123"/>
      <c r="T526" s="123"/>
      <c r="U526" s="123"/>
    </row>
    <row r="527" spans="1:21" ht="12.75">
      <c r="A527" s="367"/>
      <c r="B527" s="368" t="s">
        <v>59</v>
      </c>
      <c r="C527" s="368" t="s">
        <v>60</v>
      </c>
      <c r="D527" s="86" t="s">
        <v>61</v>
      </c>
      <c r="E527" s="426"/>
      <c r="F527" s="49"/>
      <c r="G527" s="50">
        <f t="shared" si="51"/>
        <v>0</v>
      </c>
      <c r="H527" s="49"/>
      <c r="I527" s="49"/>
      <c r="J527" s="49"/>
      <c r="K527" s="124"/>
      <c r="L527" s="21"/>
      <c r="N527" s="217"/>
      <c r="O527" s="123"/>
      <c r="P527" s="123"/>
      <c r="Q527" s="123"/>
      <c r="R527" s="123"/>
      <c r="S527" s="123"/>
      <c r="T527" s="123"/>
      <c r="U527" s="123"/>
    </row>
    <row r="528" spans="1:21" ht="12.75">
      <c r="A528" s="367">
        <f>A526+1</f>
        <v>506</v>
      </c>
      <c r="B528" s="368"/>
      <c r="C528" s="368"/>
      <c r="D528" s="369"/>
      <c r="E528" s="85" t="s">
        <v>136</v>
      </c>
      <c r="F528" s="49">
        <f>+F529+F563+F605+F608</f>
        <v>0</v>
      </c>
      <c r="G528" s="50">
        <f t="shared" si="51"/>
        <v>3524</v>
      </c>
      <c r="H528" s="166">
        <f>+H529+H563+H605</f>
        <v>1120</v>
      </c>
      <c r="I528" s="166">
        <f>+I529+I563+I605</f>
        <v>576</v>
      </c>
      <c r="J528" s="166">
        <f>+J529+J563+J605</f>
        <v>962</v>
      </c>
      <c r="K528" s="166">
        <f>+K529+K563+K605</f>
        <v>866</v>
      </c>
      <c r="L528" s="21"/>
      <c r="N528" s="217"/>
      <c r="O528" s="215"/>
      <c r="P528" s="215"/>
      <c r="Q528" s="216"/>
      <c r="R528" s="216"/>
      <c r="S528" s="219"/>
      <c r="T528" s="130"/>
      <c r="U528" s="123"/>
    </row>
    <row r="529" spans="1:21" ht="12.75">
      <c r="A529" s="367">
        <f t="shared" si="52"/>
        <v>507</v>
      </c>
      <c r="B529" s="368"/>
      <c r="C529" s="368">
        <v>10</v>
      </c>
      <c r="D529" s="369"/>
      <c r="E529" s="85" t="s">
        <v>263</v>
      </c>
      <c r="F529" s="49">
        <f>+F530+F548+F555</f>
        <v>0</v>
      </c>
      <c r="G529" s="50">
        <f t="shared" si="51"/>
        <v>0</v>
      </c>
      <c r="H529" s="166">
        <f>+H530+H548+H555</f>
        <v>0</v>
      </c>
      <c r="I529" s="166">
        <f>+I530+I548+I555</f>
        <v>0</v>
      </c>
      <c r="J529" s="166">
        <f>+J530+J548+J555</f>
        <v>0</v>
      </c>
      <c r="K529" s="166">
        <f>+K530+K548+K555</f>
        <v>0</v>
      </c>
      <c r="L529" s="21"/>
      <c r="N529" s="217"/>
      <c r="O529" s="123"/>
      <c r="P529" s="123"/>
      <c r="Q529" s="232"/>
      <c r="R529" s="232"/>
      <c r="S529" s="219"/>
      <c r="T529" s="130"/>
      <c r="U529" s="123"/>
    </row>
    <row r="530" spans="1:21" ht="12.75">
      <c r="A530" s="367">
        <f t="shared" si="52"/>
        <v>508</v>
      </c>
      <c r="B530" s="368"/>
      <c r="C530" s="377" t="s">
        <v>47</v>
      </c>
      <c r="D530" s="369"/>
      <c r="E530" s="85" t="s">
        <v>142</v>
      </c>
      <c r="F530" s="49">
        <f>+F531+F532+F533+F534+F535+F536+F537+F538+F539+F540+F541+F542+F543+F544+F545+F546+F547</f>
        <v>0</v>
      </c>
      <c r="G530" s="50">
        <f t="shared" si="51"/>
        <v>0</v>
      </c>
      <c r="H530" s="166">
        <f>+H531+H532+H533+H534+H535+H536+H537+H538+H539+H540+H541+H542+H543+H544+H545+H546+H547</f>
        <v>0</v>
      </c>
      <c r="I530" s="166">
        <f>+I531+I532+I533+I534+I535+I536+I537+I538+I539+I540+I541+I542+I543+I544+I545+I546+I547</f>
        <v>0</v>
      </c>
      <c r="J530" s="166">
        <f>+J531+J532+J533+J534+J535+J536+J537+J538+J539+J540+J541+J542+J543+J544+J545+J546+J547</f>
        <v>0</v>
      </c>
      <c r="K530" s="166">
        <f>+K531+K532+K533+K534+K535+K536+K537+K538+K539+K540+K541+K542+K543+K544+K545+K546+K547</f>
        <v>0</v>
      </c>
      <c r="L530" s="21"/>
      <c r="N530" s="217"/>
      <c r="O530" s="123"/>
      <c r="P530" s="123"/>
      <c r="Q530" s="232"/>
      <c r="R530" s="232"/>
      <c r="S530" s="220"/>
      <c r="T530" s="130"/>
      <c r="U530" s="123"/>
    </row>
    <row r="531" spans="1:21" ht="12.75">
      <c r="A531" s="367">
        <f t="shared" si="52"/>
        <v>509</v>
      </c>
      <c r="B531" s="368"/>
      <c r="C531" s="368"/>
      <c r="D531" s="379" t="s">
        <v>47</v>
      </c>
      <c r="E531" s="66" t="s">
        <v>144</v>
      </c>
      <c r="F531" s="375"/>
      <c r="G531" s="79">
        <f t="shared" si="51"/>
        <v>0</v>
      </c>
      <c r="H531" s="375">
        <f>'BVC  MS'!H530+'BVC DSP'!H531</f>
        <v>0</v>
      </c>
      <c r="I531" s="375">
        <f>'BVC  MS'!I530+'BVC DSP'!I531</f>
        <v>0</v>
      </c>
      <c r="J531" s="375">
        <f>'BVC  MS'!J530+'BVC DSP'!J531</f>
        <v>0</v>
      </c>
      <c r="K531" s="375">
        <f>'BVC  MS'!K530+'BVC DSP'!K531</f>
        <v>0</v>
      </c>
      <c r="L531" s="21"/>
      <c r="N531" s="217"/>
      <c r="O531" s="123"/>
      <c r="P531" s="123"/>
      <c r="Q531" s="232"/>
      <c r="R531" s="232"/>
      <c r="S531" s="219"/>
      <c r="T531" s="221"/>
      <c r="U531" s="123"/>
    </row>
    <row r="532" spans="1:21" ht="12.75">
      <c r="A532" s="367">
        <f t="shared" si="52"/>
        <v>510</v>
      </c>
      <c r="B532" s="368"/>
      <c r="C532" s="368"/>
      <c r="D532" s="379" t="s">
        <v>80</v>
      </c>
      <c r="E532" s="66" t="s">
        <v>146</v>
      </c>
      <c r="F532" s="375"/>
      <c r="G532" s="79">
        <f t="shared" si="51"/>
        <v>0</v>
      </c>
      <c r="H532" s="375">
        <f>'BVC  MS'!H531+'BVC DSP'!H532</f>
        <v>0</v>
      </c>
      <c r="I532" s="375">
        <f>'BVC  MS'!I531+'BVC DSP'!I532</f>
        <v>0</v>
      </c>
      <c r="J532" s="375">
        <f>'BVC  MS'!J531+'BVC DSP'!J532</f>
        <v>0</v>
      </c>
      <c r="K532" s="375">
        <f>'BVC  MS'!K531+'BVC DSP'!K532</f>
        <v>0</v>
      </c>
      <c r="L532" s="21"/>
      <c r="M532" s="21"/>
      <c r="N532" s="217"/>
      <c r="O532" s="123"/>
      <c r="P532" s="123"/>
      <c r="Q532" s="232"/>
      <c r="R532" s="232"/>
      <c r="S532" s="219"/>
      <c r="T532" s="221"/>
      <c r="U532" s="123"/>
    </row>
    <row r="533" spans="1:21" ht="12.75">
      <c r="A533" s="367">
        <f t="shared" si="52"/>
        <v>511</v>
      </c>
      <c r="B533" s="368"/>
      <c r="C533" s="368"/>
      <c r="D533" s="379" t="s">
        <v>84</v>
      </c>
      <c r="E533" s="66" t="s">
        <v>148</v>
      </c>
      <c r="F533" s="375"/>
      <c r="G533" s="79">
        <f t="shared" si="51"/>
        <v>0</v>
      </c>
      <c r="H533" s="375">
        <f>'BVC  MS'!H532+'BVC DSP'!H533</f>
        <v>0</v>
      </c>
      <c r="I533" s="375">
        <f>'BVC  MS'!I532+'BVC DSP'!I533</f>
        <v>0</v>
      </c>
      <c r="J533" s="375">
        <f>'BVC  MS'!J532+'BVC DSP'!J533</f>
        <v>0</v>
      </c>
      <c r="K533" s="375">
        <f>'BVC  MS'!K532+'BVC DSP'!K533</f>
        <v>0</v>
      </c>
      <c r="L533" s="21"/>
      <c r="M533" s="21"/>
      <c r="N533" s="217"/>
      <c r="O533" s="123"/>
      <c r="P533" s="123"/>
      <c r="Q533" s="232"/>
      <c r="R533" s="232"/>
      <c r="S533" s="219"/>
      <c r="T533" s="221"/>
      <c r="U533" s="123"/>
    </row>
    <row r="534" spans="1:21" ht="12.75">
      <c r="A534" s="367">
        <f t="shared" si="52"/>
        <v>512</v>
      </c>
      <c r="B534" s="368"/>
      <c r="C534" s="368"/>
      <c r="D534" s="379" t="s">
        <v>108</v>
      </c>
      <c r="E534" s="66" t="s">
        <v>150</v>
      </c>
      <c r="F534" s="375"/>
      <c r="G534" s="79">
        <f t="shared" si="51"/>
        <v>0</v>
      </c>
      <c r="H534" s="375">
        <f>'BVC  MS'!H533+'BVC DSP'!H534</f>
        <v>0</v>
      </c>
      <c r="I534" s="375">
        <f>'BVC  MS'!I533+'BVC DSP'!I534</f>
        <v>0</v>
      </c>
      <c r="J534" s="375">
        <f>'BVC  MS'!J533+'BVC DSP'!J534</f>
        <v>0</v>
      </c>
      <c r="K534" s="375">
        <f>'BVC  MS'!K533+'BVC DSP'!K534</f>
        <v>0</v>
      </c>
      <c r="L534" s="21"/>
      <c r="N534" s="217"/>
      <c r="O534" s="123"/>
      <c r="P534" s="123"/>
      <c r="Q534" s="232"/>
      <c r="R534" s="232"/>
      <c r="S534" s="219"/>
      <c r="T534" s="221"/>
      <c r="U534" s="123"/>
    </row>
    <row r="535" spans="1:21" ht="12.75">
      <c r="A535" s="367">
        <f t="shared" si="52"/>
        <v>513</v>
      </c>
      <c r="B535" s="368"/>
      <c r="C535" s="368"/>
      <c r="D535" s="379" t="s">
        <v>41</v>
      </c>
      <c r="E535" s="66" t="s">
        <v>152</v>
      </c>
      <c r="F535" s="375"/>
      <c r="G535" s="79">
        <f t="shared" si="51"/>
        <v>0</v>
      </c>
      <c r="H535" s="375">
        <f>'BVC  MS'!H534+'BVC DSP'!H535</f>
        <v>0</v>
      </c>
      <c r="I535" s="375">
        <f>'BVC  MS'!I534+'BVC DSP'!I535</f>
        <v>0</v>
      </c>
      <c r="J535" s="375">
        <f>'BVC  MS'!J534+'BVC DSP'!J535</f>
        <v>0</v>
      </c>
      <c r="K535" s="375">
        <f>'BVC  MS'!K534+'BVC DSP'!K535</f>
        <v>0</v>
      </c>
      <c r="L535" s="21"/>
      <c r="N535" s="217"/>
      <c r="O535" s="123"/>
      <c r="P535" s="123"/>
      <c r="Q535" s="232"/>
      <c r="R535" s="232"/>
      <c r="S535" s="219"/>
      <c r="T535" s="221"/>
      <c r="U535" s="123"/>
    </row>
    <row r="536" spans="1:21" ht="12.75">
      <c r="A536" s="367">
        <f t="shared" si="52"/>
        <v>514</v>
      </c>
      <c r="B536" s="368"/>
      <c r="C536" s="368"/>
      <c r="D536" s="379" t="s">
        <v>154</v>
      </c>
      <c r="E536" s="66" t="s">
        <v>155</v>
      </c>
      <c r="F536" s="375"/>
      <c r="G536" s="79">
        <f t="shared" si="51"/>
        <v>0</v>
      </c>
      <c r="H536" s="375">
        <f>'BVC  MS'!H535+'BVC DSP'!H536</f>
        <v>0</v>
      </c>
      <c r="I536" s="375">
        <f>'BVC  MS'!I535+'BVC DSP'!I536</f>
        <v>0</v>
      </c>
      <c r="J536" s="375">
        <f>'BVC  MS'!J535+'BVC DSP'!J536</f>
        <v>0</v>
      </c>
      <c r="K536" s="375">
        <f>'BVC  MS'!K535+'BVC DSP'!K536</f>
        <v>0</v>
      </c>
      <c r="L536" s="21"/>
      <c r="N536" s="217"/>
      <c r="O536" s="123"/>
      <c r="P536" s="123"/>
      <c r="Q536" s="232"/>
      <c r="R536" s="232"/>
      <c r="S536" s="219"/>
      <c r="T536" s="221"/>
      <c r="U536" s="123"/>
    </row>
    <row r="537" spans="1:21" ht="12.75">
      <c r="A537" s="367">
        <f t="shared" si="52"/>
        <v>515</v>
      </c>
      <c r="B537" s="368"/>
      <c r="C537" s="368"/>
      <c r="D537" s="379" t="s">
        <v>157</v>
      </c>
      <c r="E537" s="66" t="s">
        <v>158</v>
      </c>
      <c r="F537" s="375"/>
      <c r="G537" s="79">
        <f t="shared" si="51"/>
        <v>0</v>
      </c>
      <c r="H537" s="375">
        <f>'BVC  MS'!H536+'BVC DSP'!H537</f>
        <v>0</v>
      </c>
      <c r="I537" s="375">
        <f>'BVC  MS'!I536+'BVC DSP'!I537</f>
        <v>0</v>
      </c>
      <c r="J537" s="375">
        <f>'BVC  MS'!J536+'BVC DSP'!J537</f>
        <v>0</v>
      </c>
      <c r="K537" s="375">
        <f>'BVC  MS'!K536+'BVC DSP'!K537</f>
        <v>0</v>
      </c>
      <c r="L537" s="21"/>
      <c r="N537" s="217"/>
      <c r="O537" s="123"/>
      <c r="P537" s="123"/>
      <c r="Q537" s="232"/>
      <c r="R537" s="232"/>
      <c r="S537" s="219"/>
      <c r="T537" s="221"/>
      <c r="U537" s="123"/>
    </row>
    <row r="538" spans="1:21" ht="12.75">
      <c r="A538" s="367">
        <f t="shared" si="52"/>
        <v>516</v>
      </c>
      <c r="B538" s="368"/>
      <c r="C538" s="368"/>
      <c r="D538" s="379" t="s">
        <v>65</v>
      </c>
      <c r="E538" s="66" t="s">
        <v>159</v>
      </c>
      <c r="F538" s="375"/>
      <c r="G538" s="79">
        <f t="shared" si="51"/>
        <v>0</v>
      </c>
      <c r="H538" s="375">
        <f>'BVC  MS'!H537+'BVC DSP'!H538</f>
        <v>0</v>
      </c>
      <c r="I538" s="375">
        <f>'BVC  MS'!I537+'BVC DSP'!I538</f>
        <v>0</v>
      </c>
      <c r="J538" s="375">
        <f>'BVC  MS'!J537+'BVC DSP'!J538</f>
        <v>0</v>
      </c>
      <c r="K538" s="375">
        <f>'BVC  MS'!K537+'BVC DSP'!K538</f>
        <v>0</v>
      </c>
      <c r="L538" s="21"/>
      <c r="N538" s="217"/>
      <c r="O538" s="123"/>
      <c r="P538" s="123"/>
      <c r="Q538" s="232"/>
      <c r="R538" s="232"/>
      <c r="S538" s="219"/>
      <c r="T538" s="221"/>
      <c r="U538" s="123"/>
    </row>
    <row r="539" spans="1:21" ht="12.75">
      <c r="A539" s="367">
        <f t="shared" si="52"/>
        <v>517</v>
      </c>
      <c r="B539" s="368"/>
      <c r="C539" s="368"/>
      <c r="D539" s="379" t="s">
        <v>160</v>
      </c>
      <c r="E539" s="66" t="s">
        <v>264</v>
      </c>
      <c r="F539" s="375"/>
      <c r="G539" s="79">
        <f t="shared" si="51"/>
        <v>0</v>
      </c>
      <c r="H539" s="375">
        <f>'BVC  MS'!H538+'BVC DSP'!H539</f>
        <v>0</v>
      </c>
      <c r="I539" s="375">
        <f>'BVC  MS'!I538+'BVC DSP'!I539</f>
        <v>0</v>
      </c>
      <c r="J539" s="375">
        <f>'BVC  MS'!J538+'BVC DSP'!J539</f>
        <v>0</v>
      </c>
      <c r="K539" s="375">
        <f>'BVC  MS'!K538+'BVC DSP'!K539</f>
        <v>0</v>
      </c>
      <c r="L539" s="21"/>
      <c r="N539" s="217"/>
      <c r="O539" s="123"/>
      <c r="P539" s="123"/>
      <c r="Q539" s="232"/>
      <c r="R539" s="232"/>
      <c r="S539" s="219"/>
      <c r="T539" s="221"/>
      <c r="U539" s="123"/>
    </row>
    <row r="540" spans="1:21" ht="12.75">
      <c r="A540" s="367">
        <f t="shared" si="52"/>
        <v>518</v>
      </c>
      <c r="B540" s="368"/>
      <c r="C540" s="368"/>
      <c r="D540" s="369">
        <v>10</v>
      </c>
      <c r="E540" s="66" t="s">
        <v>162</v>
      </c>
      <c r="F540" s="375"/>
      <c r="G540" s="79">
        <f t="shared" si="51"/>
        <v>0</v>
      </c>
      <c r="H540" s="375">
        <f>'BVC  MS'!H539+'BVC DSP'!H540</f>
        <v>0</v>
      </c>
      <c r="I540" s="375">
        <f>'BVC  MS'!I539+'BVC DSP'!I540</f>
        <v>0</v>
      </c>
      <c r="J540" s="375">
        <f>'BVC  MS'!J539+'BVC DSP'!J540</f>
        <v>0</v>
      </c>
      <c r="K540" s="375">
        <f>'BVC  MS'!K539+'BVC DSP'!K540</f>
        <v>0</v>
      </c>
      <c r="L540" s="21"/>
      <c r="M540" s="21"/>
      <c r="N540" s="217"/>
      <c r="O540" s="123"/>
      <c r="P540" s="123"/>
      <c r="Q540" s="232"/>
      <c r="R540" s="232"/>
      <c r="S540" s="219"/>
      <c r="T540" s="130"/>
      <c r="U540" s="123"/>
    </row>
    <row r="541" spans="1:21" ht="12.75">
      <c r="A541" s="367">
        <f aca="true" t="shared" si="54" ref="A541:A604">A540+1</f>
        <v>519</v>
      </c>
      <c r="B541" s="368"/>
      <c r="C541" s="368"/>
      <c r="D541" s="369">
        <v>11</v>
      </c>
      <c r="E541" s="66" t="s">
        <v>163</v>
      </c>
      <c r="F541" s="375"/>
      <c r="G541" s="79">
        <f t="shared" si="51"/>
        <v>0</v>
      </c>
      <c r="H541" s="375">
        <f>'BVC  MS'!H540+'BVC DSP'!H541</f>
        <v>0</v>
      </c>
      <c r="I541" s="375">
        <f>'BVC  MS'!I540+'BVC DSP'!I541</f>
        <v>0</v>
      </c>
      <c r="J541" s="375">
        <f>'BVC  MS'!J540+'BVC DSP'!J541</f>
        <v>0</v>
      </c>
      <c r="K541" s="375">
        <f>'BVC  MS'!K540+'BVC DSP'!K541</f>
        <v>0</v>
      </c>
      <c r="L541" s="21"/>
      <c r="N541" s="217"/>
      <c r="O541" s="123"/>
      <c r="P541" s="123"/>
      <c r="Q541" s="232"/>
      <c r="R541" s="232"/>
      <c r="S541" s="219"/>
      <c r="T541" s="130"/>
      <c r="U541" s="123"/>
    </row>
    <row r="542" spans="1:21" ht="12.75">
      <c r="A542" s="367">
        <f t="shared" si="54"/>
        <v>520</v>
      </c>
      <c r="B542" s="368"/>
      <c r="C542" s="368"/>
      <c r="D542" s="369">
        <v>12</v>
      </c>
      <c r="E542" s="66" t="s">
        <v>164</v>
      </c>
      <c r="F542" s="375"/>
      <c r="G542" s="79">
        <f t="shared" si="51"/>
        <v>0</v>
      </c>
      <c r="H542" s="375">
        <f>'BVC  MS'!H541+'BVC DSP'!H542</f>
        <v>0</v>
      </c>
      <c r="I542" s="375">
        <f>'BVC  MS'!I541+'BVC DSP'!I542</f>
        <v>0</v>
      </c>
      <c r="J542" s="375">
        <f>'BVC  MS'!J541+'BVC DSP'!J542</f>
        <v>0</v>
      </c>
      <c r="K542" s="375">
        <f>'BVC  MS'!K541+'BVC DSP'!K542</f>
        <v>0</v>
      </c>
      <c r="L542" s="21"/>
      <c r="N542" s="217"/>
      <c r="O542" s="123"/>
      <c r="P542" s="123"/>
      <c r="Q542" s="232"/>
      <c r="R542" s="232"/>
      <c r="S542" s="219"/>
      <c r="T542" s="130"/>
      <c r="U542" s="123"/>
    </row>
    <row r="543" spans="1:21" ht="12.75">
      <c r="A543" s="367">
        <f t="shared" si="54"/>
        <v>521</v>
      </c>
      <c r="B543" s="368"/>
      <c r="C543" s="368"/>
      <c r="D543" s="369">
        <v>13</v>
      </c>
      <c r="E543" s="66" t="s">
        <v>165</v>
      </c>
      <c r="F543" s="375"/>
      <c r="G543" s="79">
        <f t="shared" si="51"/>
        <v>0</v>
      </c>
      <c r="H543" s="375">
        <f>'BVC  MS'!H542+'BVC DSP'!H543</f>
        <v>0</v>
      </c>
      <c r="I543" s="375">
        <f>'BVC  MS'!I542+'BVC DSP'!I543</f>
        <v>0</v>
      </c>
      <c r="J543" s="375">
        <f>'BVC  MS'!J542+'BVC DSP'!J543</f>
        <v>0</v>
      </c>
      <c r="K543" s="375">
        <f>'BVC  MS'!K542+'BVC DSP'!K543</f>
        <v>0</v>
      </c>
      <c r="L543" s="21"/>
      <c r="N543" s="217"/>
      <c r="O543" s="123"/>
      <c r="P543" s="123"/>
      <c r="Q543" s="232"/>
      <c r="R543" s="232"/>
      <c r="S543" s="219"/>
      <c r="T543" s="130"/>
      <c r="U543" s="123"/>
    </row>
    <row r="544" spans="1:21" ht="12.75">
      <c r="A544" s="367">
        <f t="shared" si="54"/>
        <v>522</v>
      </c>
      <c r="B544" s="368"/>
      <c r="C544" s="368"/>
      <c r="D544" s="369">
        <v>14</v>
      </c>
      <c r="E544" s="66" t="s">
        <v>166</v>
      </c>
      <c r="F544" s="375"/>
      <c r="G544" s="79">
        <f t="shared" si="51"/>
        <v>0</v>
      </c>
      <c r="H544" s="375">
        <f>'BVC  MS'!H543+'BVC DSP'!H544</f>
        <v>0</v>
      </c>
      <c r="I544" s="375">
        <f>'BVC  MS'!I543+'BVC DSP'!I544</f>
        <v>0</v>
      </c>
      <c r="J544" s="375">
        <f>'BVC  MS'!J543+'BVC DSP'!J544</f>
        <v>0</v>
      </c>
      <c r="K544" s="375">
        <f>'BVC  MS'!K543+'BVC DSP'!K544</f>
        <v>0</v>
      </c>
      <c r="L544" s="21"/>
      <c r="N544" s="217"/>
      <c r="O544" s="123"/>
      <c r="P544" s="123"/>
      <c r="Q544" s="232"/>
      <c r="R544" s="232"/>
      <c r="S544" s="219"/>
      <c r="T544" s="130"/>
      <c r="U544" s="123"/>
    </row>
    <row r="545" spans="1:21" ht="12.75">
      <c r="A545" s="367">
        <f t="shared" si="54"/>
        <v>523</v>
      </c>
      <c r="B545" s="368"/>
      <c r="C545" s="368"/>
      <c r="D545" s="369">
        <v>15</v>
      </c>
      <c r="E545" s="66" t="s">
        <v>167</v>
      </c>
      <c r="F545" s="375"/>
      <c r="G545" s="79">
        <f aca="true" t="shared" si="55" ref="G545:G608">H545+I545+J545+K545</f>
        <v>0</v>
      </c>
      <c r="H545" s="375">
        <f>'BVC  MS'!H544+'BVC DSP'!H545</f>
        <v>0</v>
      </c>
      <c r="I545" s="375">
        <f>'BVC  MS'!I544+'BVC DSP'!I545</f>
        <v>0</v>
      </c>
      <c r="J545" s="375">
        <f>'BVC  MS'!J544+'BVC DSP'!J545</f>
        <v>0</v>
      </c>
      <c r="K545" s="375">
        <f>'BVC  MS'!K544+'BVC DSP'!K545</f>
        <v>0</v>
      </c>
      <c r="L545" s="21"/>
      <c r="N545" s="217"/>
      <c r="O545" s="123"/>
      <c r="P545" s="123"/>
      <c r="Q545" s="232"/>
      <c r="R545" s="232"/>
      <c r="S545" s="219"/>
      <c r="T545" s="130"/>
      <c r="U545" s="123"/>
    </row>
    <row r="546" spans="1:21" ht="12.75">
      <c r="A546" s="367">
        <f t="shared" si="54"/>
        <v>524</v>
      </c>
      <c r="B546" s="368"/>
      <c r="C546" s="368"/>
      <c r="D546" s="369">
        <v>16</v>
      </c>
      <c r="E546" s="66" t="s">
        <v>168</v>
      </c>
      <c r="F546" s="375"/>
      <c r="G546" s="79">
        <f t="shared" si="55"/>
        <v>0</v>
      </c>
      <c r="H546" s="375">
        <f>'BVC  MS'!H545+'BVC DSP'!H546</f>
        <v>0</v>
      </c>
      <c r="I546" s="375">
        <f>'BVC  MS'!I545+'BVC DSP'!I546</f>
        <v>0</v>
      </c>
      <c r="J546" s="375">
        <f>'BVC  MS'!J545+'BVC DSP'!J546</f>
        <v>0</v>
      </c>
      <c r="K546" s="375">
        <f>'BVC  MS'!K545+'BVC DSP'!K546</f>
        <v>0</v>
      </c>
      <c r="L546" s="21"/>
      <c r="N546" s="217"/>
      <c r="O546" s="123"/>
      <c r="P546" s="123"/>
      <c r="Q546" s="232"/>
      <c r="R546" s="232"/>
      <c r="S546" s="219"/>
      <c r="T546" s="130"/>
      <c r="U546" s="123"/>
    </row>
    <row r="547" spans="1:21" ht="12.75">
      <c r="A547" s="367">
        <f t="shared" si="54"/>
        <v>525</v>
      </c>
      <c r="B547" s="368"/>
      <c r="C547" s="368"/>
      <c r="D547" s="369">
        <v>30</v>
      </c>
      <c r="E547" s="66" t="s">
        <v>169</v>
      </c>
      <c r="F547" s="375"/>
      <c r="G547" s="79">
        <f t="shared" si="55"/>
        <v>0</v>
      </c>
      <c r="H547" s="375">
        <f>'BVC  MS'!H546+'BVC DSP'!H547</f>
        <v>0</v>
      </c>
      <c r="I547" s="375">
        <f>'BVC  MS'!I546+'BVC DSP'!I547</f>
        <v>0</v>
      </c>
      <c r="J547" s="375">
        <f>'BVC  MS'!J546+'BVC DSP'!J547</f>
        <v>0</v>
      </c>
      <c r="K547" s="375">
        <f>'BVC  MS'!K546+'BVC DSP'!K547</f>
        <v>0</v>
      </c>
      <c r="L547" s="21"/>
      <c r="N547" s="217"/>
      <c r="O547" s="123"/>
      <c r="P547" s="123"/>
      <c r="Q547" s="232"/>
      <c r="R547" s="232"/>
      <c r="S547" s="219"/>
      <c r="T547" s="130"/>
      <c r="U547" s="123"/>
    </row>
    <row r="548" spans="1:21" ht="12.75">
      <c r="A548" s="367">
        <f t="shared" si="54"/>
        <v>526</v>
      </c>
      <c r="B548" s="368"/>
      <c r="C548" s="377" t="s">
        <v>80</v>
      </c>
      <c r="D548" s="369"/>
      <c r="E548" s="85" t="s">
        <v>170</v>
      </c>
      <c r="F548" s="49">
        <f>+F549+F550+F551+F552+F553+F554</f>
        <v>0</v>
      </c>
      <c r="G548" s="50">
        <f t="shared" si="55"/>
        <v>0</v>
      </c>
      <c r="H548" s="166">
        <f>+H549+H550+H551+H552+H553+H554</f>
        <v>0</v>
      </c>
      <c r="I548" s="166">
        <f>+I549+I550+I551+I552+I553+I554</f>
        <v>0</v>
      </c>
      <c r="J548" s="166">
        <f>+J549+J550+J551+J552+J553+J554</f>
        <v>0</v>
      </c>
      <c r="K548" s="166">
        <f>+K549+K550+K551+K552+K553+K554</f>
        <v>0</v>
      </c>
      <c r="L548" s="21"/>
      <c r="N548" s="217"/>
      <c r="O548" s="123"/>
      <c r="P548" s="123"/>
      <c r="Q548" s="232"/>
      <c r="R548" s="232"/>
      <c r="S548" s="220"/>
      <c r="T548" s="130"/>
      <c r="U548" s="123"/>
    </row>
    <row r="549" spans="1:21" ht="12.75">
      <c r="A549" s="367">
        <f t="shared" si="54"/>
        <v>527</v>
      </c>
      <c r="B549" s="368"/>
      <c r="C549" s="368"/>
      <c r="D549" s="379" t="s">
        <v>47</v>
      </c>
      <c r="E549" s="66" t="s">
        <v>265</v>
      </c>
      <c r="F549" s="375"/>
      <c r="G549" s="79">
        <f t="shared" si="55"/>
        <v>0</v>
      </c>
      <c r="H549" s="375">
        <f>'BVC  MS'!H548+'BVC DSP'!H549</f>
        <v>0</v>
      </c>
      <c r="I549" s="375">
        <f>'BVC  MS'!I548+'BVC DSP'!I549</f>
        <v>0</v>
      </c>
      <c r="J549" s="375">
        <f>'BVC  MS'!J548+'BVC DSP'!J549</f>
        <v>0</v>
      </c>
      <c r="K549" s="375">
        <f>'BVC  MS'!K548+'BVC DSP'!K549</f>
        <v>0</v>
      </c>
      <c r="L549" s="21"/>
      <c r="N549" s="217"/>
      <c r="O549" s="123"/>
      <c r="P549" s="123"/>
      <c r="Q549" s="232"/>
      <c r="R549" s="232"/>
      <c r="S549" s="219"/>
      <c r="T549" s="221"/>
      <c r="U549" s="123"/>
    </row>
    <row r="550" spans="1:21" ht="12.75">
      <c r="A550" s="367">
        <f t="shared" si="54"/>
        <v>528</v>
      </c>
      <c r="B550" s="368"/>
      <c r="C550" s="368"/>
      <c r="D550" s="379" t="s">
        <v>80</v>
      </c>
      <c r="E550" s="66" t="s">
        <v>266</v>
      </c>
      <c r="F550" s="375"/>
      <c r="G550" s="79">
        <f t="shared" si="55"/>
        <v>0</v>
      </c>
      <c r="H550" s="375">
        <f>'BVC  MS'!H549+'BVC DSP'!H550</f>
        <v>0</v>
      </c>
      <c r="I550" s="375">
        <f>'BVC  MS'!I549+'BVC DSP'!I550</f>
        <v>0</v>
      </c>
      <c r="J550" s="375">
        <f>'BVC  MS'!J549+'BVC DSP'!J550</f>
        <v>0</v>
      </c>
      <c r="K550" s="375">
        <f>'BVC  MS'!K549+'BVC DSP'!K550</f>
        <v>0</v>
      </c>
      <c r="L550" s="21"/>
      <c r="N550" s="217"/>
      <c r="O550" s="123"/>
      <c r="P550" s="123"/>
      <c r="Q550" s="232"/>
      <c r="R550" s="232"/>
      <c r="S550" s="219"/>
      <c r="T550" s="221"/>
      <c r="U550" s="123"/>
    </row>
    <row r="551" spans="1:21" ht="12.75">
      <c r="A551" s="367">
        <f t="shared" si="54"/>
        <v>529</v>
      </c>
      <c r="B551" s="368"/>
      <c r="C551" s="368"/>
      <c r="D551" s="379" t="s">
        <v>84</v>
      </c>
      <c r="E551" s="66" t="s">
        <v>173</v>
      </c>
      <c r="F551" s="375"/>
      <c r="G551" s="79">
        <f t="shared" si="55"/>
        <v>0</v>
      </c>
      <c r="H551" s="375">
        <f>'BVC  MS'!H550+'BVC DSP'!H551</f>
        <v>0</v>
      </c>
      <c r="I551" s="375">
        <f>'BVC  MS'!I550+'BVC DSP'!I551</f>
        <v>0</v>
      </c>
      <c r="J551" s="375">
        <f>'BVC  MS'!J550+'BVC DSP'!J551</f>
        <v>0</v>
      </c>
      <c r="K551" s="375">
        <f>'BVC  MS'!K550+'BVC DSP'!K551</f>
        <v>0</v>
      </c>
      <c r="L551" s="21"/>
      <c r="N551" s="217"/>
      <c r="O551" s="123"/>
      <c r="P551" s="123"/>
      <c r="Q551" s="232"/>
      <c r="R551" s="232"/>
      <c r="S551" s="219"/>
      <c r="T551" s="221"/>
      <c r="U551" s="123"/>
    </row>
    <row r="552" spans="1:21" ht="12.75">
      <c r="A552" s="367">
        <f t="shared" si="54"/>
        <v>530</v>
      </c>
      <c r="B552" s="368"/>
      <c r="C552" s="368"/>
      <c r="D552" s="379" t="s">
        <v>108</v>
      </c>
      <c r="E552" s="66" t="s">
        <v>267</v>
      </c>
      <c r="F552" s="375"/>
      <c r="G552" s="79">
        <f t="shared" si="55"/>
        <v>0</v>
      </c>
      <c r="H552" s="375">
        <f>'BVC  MS'!H551+'BVC DSP'!H552</f>
        <v>0</v>
      </c>
      <c r="I552" s="375">
        <f>'BVC  MS'!I551+'BVC DSP'!I552</f>
        <v>0</v>
      </c>
      <c r="J552" s="375">
        <f>'BVC  MS'!J551+'BVC DSP'!J552</f>
        <v>0</v>
      </c>
      <c r="K552" s="375">
        <f>'BVC  MS'!K551+'BVC DSP'!K552</f>
        <v>0</v>
      </c>
      <c r="L552" s="21"/>
      <c r="N552" s="217"/>
      <c r="O552" s="123"/>
      <c r="P552" s="123"/>
      <c r="Q552" s="232"/>
      <c r="R552" s="232"/>
      <c r="S552" s="219"/>
      <c r="T552" s="221"/>
      <c r="U552" s="123"/>
    </row>
    <row r="553" spans="1:21" ht="12.75">
      <c r="A553" s="367">
        <f t="shared" si="54"/>
        <v>531</v>
      </c>
      <c r="B553" s="368"/>
      <c r="C553" s="368"/>
      <c r="D553" s="379" t="s">
        <v>41</v>
      </c>
      <c r="E553" s="66" t="s">
        <v>268</v>
      </c>
      <c r="F553" s="375"/>
      <c r="G553" s="79">
        <f t="shared" si="55"/>
        <v>0</v>
      </c>
      <c r="H553" s="375">
        <f>'BVC  MS'!H552+'BVC DSP'!H553</f>
        <v>0</v>
      </c>
      <c r="I553" s="375">
        <f>'BVC  MS'!I552+'BVC DSP'!I553</f>
        <v>0</v>
      </c>
      <c r="J553" s="375">
        <f>'BVC  MS'!J552+'BVC DSP'!J553</f>
        <v>0</v>
      </c>
      <c r="K553" s="375">
        <f>'BVC  MS'!K552+'BVC DSP'!K553</f>
        <v>0</v>
      </c>
      <c r="L553" s="21"/>
      <c r="N553" s="217"/>
      <c r="O553" s="123"/>
      <c r="P553" s="123"/>
      <c r="Q553" s="232"/>
      <c r="R553" s="232"/>
      <c r="S553" s="219"/>
      <c r="T553" s="221"/>
      <c r="U553" s="123"/>
    </row>
    <row r="554" spans="1:21" ht="12.75">
      <c r="A554" s="367">
        <f t="shared" si="54"/>
        <v>532</v>
      </c>
      <c r="B554" s="368"/>
      <c r="C554" s="368"/>
      <c r="D554" s="369">
        <v>30</v>
      </c>
      <c r="E554" s="66" t="s">
        <v>176</v>
      </c>
      <c r="F554" s="375"/>
      <c r="G554" s="79">
        <f t="shared" si="55"/>
        <v>0</v>
      </c>
      <c r="H554" s="375">
        <f>'BVC  MS'!H553+'BVC DSP'!H554</f>
        <v>0</v>
      </c>
      <c r="I554" s="375">
        <f>'BVC  MS'!I553+'BVC DSP'!I554</f>
        <v>0</v>
      </c>
      <c r="J554" s="375">
        <f>'BVC  MS'!J553+'BVC DSP'!J554</f>
        <v>0</v>
      </c>
      <c r="K554" s="375">
        <f>'BVC  MS'!K553+'BVC DSP'!K554</f>
        <v>0</v>
      </c>
      <c r="L554" s="21"/>
      <c r="N554" s="217"/>
      <c r="O554" s="123"/>
      <c r="P554" s="123"/>
      <c r="Q554" s="232"/>
      <c r="R554" s="232"/>
      <c r="S554" s="219"/>
      <c r="T554" s="130"/>
      <c r="U554" s="123"/>
    </row>
    <row r="555" spans="1:21" ht="12.75">
      <c r="A555" s="367">
        <f t="shared" si="54"/>
        <v>533</v>
      </c>
      <c r="B555" s="368"/>
      <c r="C555" s="377" t="s">
        <v>84</v>
      </c>
      <c r="D555" s="369"/>
      <c r="E555" s="85" t="s">
        <v>177</v>
      </c>
      <c r="F555" s="49">
        <f>+F556+F557+F558+F559+F560+F561+F562</f>
        <v>0</v>
      </c>
      <c r="G555" s="50">
        <f t="shared" si="55"/>
        <v>0</v>
      </c>
      <c r="H555" s="166">
        <f>+H556+H557+H558+H559+H560+H561+H562</f>
        <v>0</v>
      </c>
      <c r="I555" s="166">
        <f>+I556+I557+I558+I559+I560+I561+I562</f>
        <v>0</v>
      </c>
      <c r="J555" s="166">
        <f>+J556+J557+J558+J559+J560+J561+J562</f>
        <v>0</v>
      </c>
      <c r="K555" s="166">
        <f>+K556+K557+K558+K559+K560+K561+K562</f>
        <v>0</v>
      </c>
      <c r="L555" s="21"/>
      <c r="N555" s="217"/>
      <c r="O555" s="123"/>
      <c r="P555" s="123"/>
      <c r="Q555" s="232"/>
      <c r="R555" s="232"/>
      <c r="S555" s="220"/>
      <c r="T555" s="130"/>
      <c r="U555" s="123"/>
    </row>
    <row r="556" spans="1:21" ht="12.75">
      <c r="A556" s="367">
        <f t="shared" si="54"/>
        <v>534</v>
      </c>
      <c r="B556" s="368"/>
      <c r="C556" s="368"/>
      <c r="D556" s="379" t="s">
        <v>47</v>
      </c>
      <c r="E556" s="66" t="s">
        <v>178</v>
      </c>
      <c r="F556" s="375"/>
      <c r="G556" s="79">
        <f t="shared" si="55"/>
        <v>0</v>
      </c>
      <c r="H556" s="375">
        <f>'BVC  MS'!H555+'BVC DSP'!H556</f>
        <v>0</v>
      </c>
      <c r="I556" s="375">
        <f>'BVC  MS'!I555+'BVC DSP'!I556</f>
        <v>0</v>
      </c>
      <c r="J556" s="375">
        <f>'BVC  MS'!J555+'BVC DSP'!J556</f>
        <v>0</v>
      </c>
      <c r="K556" s="375">
        <f>'BVC  MS'!K555+'BVC DSP'!K556</f>
        <v>0</v>
      </c>
      <c r="L556" s="21"/>
      <c r="N556" s="217"/>
      <c r="O556" s="123"/>
      <c r="P556" s="123"/>
      <c r="Q556" s="232"/>
      <c r="R556" s="232"/>
      <c r="S556" s="219"/>
      <c r="T556" s="221"/>
      <c r="U556" s="123"/>
    </row>
    <row r="557" spans="1:21" ht="12.75">
      <c r="A557" s="367">
        <f t="shared" si="54"/>
        <v>535</v>
      </c>
      <c r="B557" s="368"/>
      <c r="C557" s="368"/>
      <c r="D557" s="379" t="s">
        <v>80</v>
      </c>
      <c r="E557" s="66" t="s">
        <v>179</v>
      </c>
      <c r="F557" s="375"/>
      <c r="G557" s="79">
        <f t="shared" si="55"/>
        <v>0</v>
      </c>
      <c r="H557" s="375">
        <f>'BVC  MS'!H556+'BVC DSP'!H557</f>
        <v>0</v>
      </c>
      <c r="I557" s="375">
        <f>'BVC  MS'!I556+'BVC DSP'!I557</f>
        <v>0</v>
      </c>
      <c r="J557" s="375">
        <f>'BVC  MS'!J556+'BVC DSP'!J557</f>
        <v>0</v>
      </c>
      <c r="K557" s="375">
        <f>'BVC  MS'!K556+'BVC DSP'!K557</f>
        <v>0</v>
      </c>
      <c r="L557" s="21"/>
      <c r="N557" s="217"/>
      <c r="O557" s="123"/>
      <c r="P557" s="123"/>
      <c r="Q557" s="232"/>
      <c r="R557" s="232"/>
      <c r="S557" s="219"/>
      <c r="T557" s="221"/>
      <c r="U557" s="123"/>
    </row>
    <row r="558" spans="1:21" ht="12.75">
      <c r="A558" s="367">
        <f t="shared" si="54"/>
        <v>536</v>
      </c>
      <c r="B558" s="368"/>
      <c r="C558" s="368"/>
      <c r="D558" s="379" t="s">
        <v>84</v>
      </c>
      <c r="E558" s="66" t="s">
        <v>180</v>
      </c>
      <c r="F558" s="375"/>
      <c r="G558" s="79">
        <f t="shared" si="55"/>
        <v>0</v>
      </c>
      <c r="H558" s="375">
        <f>'BVC  MS'!H557+'BVC DSP'!H558</f>
        <v>0</v>
      </c>
      <c r="I558" s="375">
        <f>'BVC  MS'!I557+'BVC DSP'!I558</f>
        <v>0</v>
      </c>
      <c r="J558" s="375">
        <f>'BVC  MS'!J557+'BVC DSP'!J558</f>
        <v>0</v>
      </c>
      <c r="K558" s="375">
        <f>'BVC  MS'!K557+'BVC DSP'!K558</f>
        <v>0</v>
      </c>
      <c r="L558" s="21"/>
      <c r="N558" s="217"/>
      <c r="O558" s="123"/>
      <c r="P558" s="123"/>
      <c r="Q558" s="232"/>
      <c r="R558" s="232"/>
      <c r="S558" s="219"/>
      <c r="T558" s="221"/>
      <c r="U558" s="123"/>
    </row>
    <row r="559" spans="1:21" ht="12.75">
      <c r="A559" s="367">
        <f t="shared" si="54"/>
        <v>537</v>
      </c>
      <c r="B559" s="368"/>
      <c r="C559" s="368"/>
      <c r="D559" s="379" t="s">
        <v>108</v>
      </c>
      <c r="E559" s="66" t="s">
        <v>269</v>
      </c>
      <c r="F559" s="375"/>
      <c r="G559" s="79">
        <f t="shared" si="55"/>
        <v>0</v>
      </c>
      <c r="H559" s="375">
        <f>'BVC  MS'!H558+'BVC DSP'!H559</f>
        <v>0</v>
      </c>
      <c r="I559" s="375">
        <f>'BVC  MS'!I558+'BVC DSP'!I559</f>
        <v>0</v>
      </c>
      <c r="J559" s="375">
        <f>'BVC  MS'!J558+'BVC DSP'!J559</f>
        <v>0</v>
      </c>
      <c r="K559" s="375">
        <f>'BVC  MS'!K558+'BVC DSP'!K559</f>
        <v>0</v>
      </c>
      <c r="L559" s="21"/>
      <c r="N559" s="217"/>
      <c r="O559" s="123"/>
      <c r="P559" s="123"/>
      <c r="Q559" s="232"/>
      <c r="R559" s="232"/>
      <c r="S559" s="219"/>
      <c r="T559" s="221"/>
      <c r="U559" s="123"/>
    </row>
    <row r="560" spans="1:21" ht="12.75">
      <c r="A560" s="367">
        <f t="shared" si="54"/>
        <v>538</v>
      </c>
      <c r="B560" s="368"/>
      <c r="C560" s="368"/>
      <c r="D560" s="379" t="s">
        <v>41</v>
      </c>
      <c r="E560" s="66" t="s">
        <v>182</v>
      </c>
      <c r="F560" s="375"/>
      <c r="G560" s="79">
        <f t="shared" si="55"/>
        <v>0</v>
      </c>
      <c r="H560" s="375">
        <f>'BVC  MS'!H559+'BVC DSP'!H560</f>
        <v>0</v>
      </c>
      <c r="I560" s="375">
        <f>'BVC  MS'!I559+'BVC DSP'!I560</f>
        <v>0</v>
      </c>
      <c r="J560" s="375">
        <f>'BVC  MS'!J559+'BVC DSP'!J560</f>
        <v>0</v>
      </c>
      <c r="K560" s="375">
        <f>'BVC  MS'!K559+'BVC DSP'!K560</f>
        <v>0</v>
      </c>
      <c r="L560" s="21"/>
      <c r="N560" s="217"/>
      <c r="O560" s="123"/>
      <c r="P560" s="123"/>
      <c r="Q560" s="232"/>
      <c r="R560" s="232"/>
      <c r="S560" s="219"/>
      <c r="T560" s="221"/>
      <c r="U560" s="123"/>
    </row>
    <row r="561" spans="1:21" ht="12.75">
      <c r="A561" s="367">
        <f t="shared" si="54"/>
        <v>539</v>
      </c>
      <c r="B561" s="368"/>
      <c r="C561" s="368"/>
      <c r="D561" s="379" t="s">
        <v>154</v>
      </c>
      <c r="E561" s="66" t="s">
        <v>183</v>
      </c>
      <c r="F561" s="375"/>
      <c r="G561" s="79">
        <f t="shared" si="55"/>
        <v>0</v>
      </c>
      <c r="H561" s="375">
        <f>'BVC  MS'!H560+'BVC DSP'!H561</f>
        <v>0</v>
      </c>
      <c r="I561" s="375">
        <f>'BVC  MS'!I560+'BVC DSP'!I561</f>
        <v>0</v>
      </c>
      <c r="J561" s="375">
        <f>'BVC  MS'!J560+'BVC DSP'!J561</f>
        <v>0</v>
      </c>
      <c r="K561" s="375">
        <f>'BVC  MS'!K560+'BVC DSP'!K561</f>
        <v>0</v>
      </c>
      <c r="L561" s="21"/>
      <c r="M561" s="167"/>
      <c r="N561" s="217"/>
      <c r="O561" s="123"/>
      <c r="P561" s="123"/>
      <c r="Q561" s="232"/>
      <c r="R561" s="232"/>
      <c r="S561" s="219"/>
      <c r="T561" s="221"/>
      <c r="U561" s="123"/>
    </row>
    <row r="562" spans="1:21" ht="12.75">
      <c r="A562" s="367">
        <f t="shared" si="54"/>
        <v>540</v>
      </c>
      <c r="B562" s="368"/>
      <c r="C562" s="368"/>
      <c r="D562" s="379" t="s">
        <v>157</v>
      </c>
      <c r="E562" s="66" t="s">
        <v>184</v>
      </c>
      <c r="F562" s="375"/>
      <c r="G562" s="79">
        <f t="shared" si="55"/>
        <v>0</v>
      </c>
      <c r="H562" s="375">
        <f>'BVC  MS'!H561+'BVC DSP'!H562</f>
        <v>0</v>
      </c>
      <c r="I562" s="375">
        <f>'BVC  MS'!I561+'BVC DSP'!I562</f>
        <v>0</v>
      </c>
      <c r="J562" s="375">
        <f>'BVC  MS'!J561+'BVC DSP'!J562</f>
        <v>0</v>
      </c>
      <c r="K562" s="375">
        <f>'BVC  MS'!K561+'BVC DSP'!K562</f>
        <v>0</v>
      </c>
      <c r="L562" s="21"/>
      <c r="N562" s="217"/>
      <c r="O562" s="123"/>
      <c r="P562" s="123"/>
      <c r="Q562" s="232"/>
      <c r="R562" s="232"/>
      <c r="S562" s="219"/>
      <c r="T562" s="221"/>
      <c r="U562" s="123"/>
    </row>
    <row r="563" spans="1:21" ht="12.75">
      <c r="A563" s="367">
        <f t="shared" si="54"/>
        <v>541</v>
      </c>
      <c r="B563" s="368"/>
      <c r="C563" s="368">
        <v>20</v>
      </c>
      <c r="D563" s="369"/>
      <c r="E563" s="85" t="s">
        <v>298</v>
      </c>
      <c r="F563" s="49">
        <f>+F564+F575+F576+F579+F584+F588+F591+F592+F593+F594+F595+F596+F597+F599</f>
        <v>0</v>
      </c>
      <c r="G563" s="50">
        <f t="shared" si="55"/>
        <v>3524</v>
      </c>
      <c r="H563" s="166">
        <f>+H564+H575+H576+H579+H584+H588+H591+H592+H593+H594+H595+H596+H597+H599</f>
        <v>1120</v>
      </c>
      <c r="I563" s="166">
        <f>+I564+I575+I576+I579+I584+I588+I591+I592+I593+I594+I595+I596+I597+I599</f>
        <v>576</v>
      </c>
      <c r="J563" s="166">
        <f>+J564+J575+J576+J579+J584+J588+J591+J592+J593+J594+J595+J596+J597+J599</f>
        <v>962</v>
      </c>
      <c r="K563" s="166">
        <f>+K564+K575+K576+K579+K584+K588+K591+K592+K593+K594+K595+K596+K597+K599</f>
        <v>866</v>
      </c>
      <c r="L563" s="21"/>
      <c r="N563" s="217"/>
      <c r="O563" s="214"/>
      <c r="P563" s="214"/>
      <c r="Q563" s="216"/>
      <c r="R563" s="216"/>
      <c r="S563" s="219"/>
      <c r="T563" s="130"/>
      <c r="U563" s="123"/>
    </row>
    <row r="564" spans="1:21" ht="12.75">
      <c r="A564" s="367">
        <f t="shared" si="54"/>
        <v>542</v>
      </c>
      <c r="B564" s="368"/>
      <c r="C564" s="377" t="s">
        <v>47</v>
      </c>
      <c r="D564" s="369"/>
      <c r="E564" s="85" t="s">
        <v>130</v>
      </c>
      <c r="F564" s="49">
        <f>+F565+F566+F567+F568+F569+F570+F571+F572+F573+F574</f>
        <v>0</v>
      </c>
      <c r="G564" s="50">
        <f t="shared" si="55"/>
        <v>876.95</v>
      </c>
      <c r="H564" s="166">
        <f>+H565+H566+H567+H568+H569+H570+H571+H572+H573+H574</f>
        <v>0</v>
      </c>
      <c r="I564" s="166">
        <f>+I565+I566+I567+I568+I569+I570+I571+I572+I573+I574</f>
        <v>76</v>
      </c>
      <c r="J564" s="166">
        <f>+J565+J566+J567+J568+J569+J570+J571+J572+J573+J574</f>
        <v>399.12</v>
      </c>
      <c r="K564" s="166">
        <f>+K565+K566+K567+K568+K569+K570+K571+K572+K573+K574</f>
        <v>401.83</v>
      </c>
      <c r="L564" s="21"/>
      <c r="M564" s="167"/>
      <c r="N564" s="217"/>
      <c r="O564" s="123"/>
      <c r="P564" s="123"/>
      <c r="Q564" s="232"/>
      <c r="R564" s="232"/>
      <c r="S564" s="220"/>
      <c r="T564" s="130"/>
      <c r="U564" s="123"/>
    </row>
    <row r="565" spans="1:21" ht="12.75">
      <c r="A565" s="367">
        <f t="shared" si="54"/>
        <v>543</v>
      </c>
      <c r="B565" s="368"/>
      <c r="C565" s="368"/>
      <c r="D565" s="379" t="s">
        <v>47</v>
      </c>
      <c r="E565" s="66" t="s">
        <v>186</v>
      </c>
      <c r="F565" s="375"/>
      <c r="G565" s="79">
        <f t="shared" si="55"/>
        <v>16.25</v>
      </c>
      <c r="H565" s="375">
        <f>'BVC  MS'!H564+'BVC DSP'!H565</f>
        <v>0</v>
      </c>
      <c r="I565" s="375">
        <f>'BVC  MS'!I564+'BVC DSP'!I565</f>
        <v>0</v>
      </c>
      <c r="J565" s="375">
        <f>'BVC  MS'!J564+'BVC DSP'!J565</f>
        <v>4.88</v>
      </c>
      <c r="K565" s="375">
        <f>'BVC  MS'!K564+'BVC DSP'!K565</f>
        <v>11.37</v>
      </c>
      <c r="L565" s="21">
        <v>16.21</v>
      </c>
      <c r="M565" s="167">
        <f>G565-L565</f>
        <v>0.03999999999999915</v>
      </c>
      <c r="N565" s="217"/>
      <c r="O565" s="123"/>
      <c r="P565" s="123"/>
      <c r="Q565" s="232"/>
      <c r="R565" s="232"/>
      <c r="S565" s="219"/>
      <c r="T565" s="221"/>
      <c r="U565" s="123"/>
    </row>
    <row r="566" spans="1:21" ht="12.75">
      <c r="A566" s="367">
        <f t="shared" si="54"/>
        <v>544</v>
      </c>
      <c r="B566" s="368"/>
      <c r="C566" s="368"/>
      <c r="D566" s="379" t="s">
        <v>80</v>
      </c>
      <c r="E566" s="66" t="s">
        <v>187</v>
      </c>
      <c r="F566" s="375"/>
      <c r="G566" s="79">
        <f t="shared" si="55"/>
        <v>0</v>
      </c>
      <c r="H566" s="375">
        <f>'BVC  MS'!H565+'BVC DSP'!H566</f>
        <v>0</v>
      </c>
      <c r="I566" s="375">
        <f>'BVC  MS'!I565+'BVC DSP'!I566</f>
        <v>0</v>
      </c>
      <c r="J566" s="375">
        <f>'BVC  MS'!J565+'BVC DSP'!J566</f>
        <v>0</v>
      </c>
      <c r="K566" s="375">
        <f>'BVC  MS'!K565+'BVC DSP'!K566</f>
        <v>0</v>
      </c>
      <c r="L566" s="21"/>
      <c r="M566" s="167">
        <f aca="true" t="shared" si="56" ref="M566:M592">G566-L566</f>
        <v>0</v>
      </c>
      <c r="N566" s="217"/>
      <c r="O566" s="123"/>
      <c r="P566" s="123"/>
      <c r="Q566" s="232"/>
      <c r="R566" s="232"/>
      <c r="S566" s="219"/>
      <c r="T566" s="221"/>
      <c r="U566" s="123"/>
    </row>
    <row r="567" spans="1:21" ht="12.75">
      <c r="A567" s="367">
        <f t="shared" si="54"/>
        <v>545</v>
      </c>
      <c r="B567" s="368"/>
      <c r="C567" s="368"/>
      <c r="D567" s="379" t="s">
        <v>84</v>
      </c>
      <c r="E567" s="66" t="s">
        <v>188</v>
      </c>
      <c r="F567" s="375"/>
      <c r="G567" s="79">
        <f t="shared" si="55"/>
        <v>0</v>
      </c>
      <c r="H567" s="375">
        <f>'BVC  MS'!H566+'BVC DSP'!H567</f>
        <v>0</v>
      </c>
      <c r="I567" s="375">
        <f>'BVC  MS'!I566+'BVC DSP'!I567</f>
        <v>0</v>
      </c>
      <c r="J567" s="375">
        <f>'BVC  MS'!J566+'BVC DSP'!J567</f>
        <v>0</v>
      </c>
      <c r="K567" s="375">
        <f>'BVC  MS'!K566+'BVC DSP'!K567</f>
        <v>0</v>
      </c>
      <c r="L567" s="21"/>
      <c r="M567" s="167">
        <f t="shared" si="56"/>
        <v>0</v>
      </c>
      <c r="N567" s="217"/>
      <c r="O567" s="123"/>
      <c r="P567" s="123"/>
      <c r="Q567" s="232"/>
      <c r="R567" s="232"/>
      <c r="S567" s="219"/>
      <c r="T567" s="221"/>
      <c r="U567" s="123"/>
    </row>
    <row r="568" spans="1:21" ht="12.75">
      <c r="A568" s="367">
        <f t="shared" si="54"/>
        <v>546</v>
      </c>
      <c r="B568" s="368"/>
      <c r="C568" s="368"/>
      <c r="D568" s="379" t="s">
        <v>108</v>
      </c>
      <c r="E568" s="66" t="s">
        <v>189</v>
      </c>
      <c r="F568" s="375"/>
      <c r="G568" s="79">
        <f t="shared" si="55"/>
        <v>0</v>
      </c>
      <c r="H568" s="375">
        <f>'BVC  MS'!H567+'BVC DSP'!H568</f>
        <v>0</v>
      </c>
      <c r="I568" s="375">
        <f>'BVC  MS'!I567+'BVC DSP'!I568</f>
        <v>0</v>
      </c>
      <c r="J568" s="375">
        <f>'BVC  MS'!J567+'BVC DSP'!J568</f>
        <v>0</v>
      </c>
      <c r="K568" s="375">
        <f>'BVC  MS'!K567+'BVC DSP'!K568</f>
        <v>0</v>
      </c>
      <c r="L568" s="21"/>
      <c r="M568" s="167">
        <f t="shared" si="56"/>
        <v>0</v>
      </c>
      <c r="N568" s="217"/>
      <c r="O568" s="123"/>
      <c r="P568" s="123"/>
      <c r="Q568" s="232"/>
      <c r="R568" s="232"/>
      <c r="S568" s="219"/>
      <c r="T568" s="221"/>
      <c r="U568" s="123"/>
    </row>
    <row r="569" spans="1:21" ht="12.75">
      <c r="A569" s="367">
        <f t="shared" si="54"/>
        <v>547</v>
      </c>
      <c r="B569" s="368"/>
      <c r="C569" s="368"/>
      <c r="D569" s="379" t="s">
        <v>41</v>
      </c>
      <c r="E569" s="66" t="s">
        <v>190</v>
      </c>
      <c r="F569" s="375"/>
      <c r="G569" s="79">
        <f t="shared" si="55"/>
        <v>0</v>
      </c>
      <c r="H569" s="375">
        <f>'BVC  MS'!H568+'BVC DSP'!H569</f>
        <v>0</v>
      </c>
      <c r="I569" s="375">
        <f>'BVC  MS'!I568+'BVC DSP'!I569</f>
        <v>0</v>
      </c>
      <c r="J569" s="375">
        <f>'BVC  MS'!J568+'BVC DSP'!J569</f>
        <v>0</v>
      </c>
      <c r="K569" s="375">
        <f>'BVC  MS'!K568+'BVC DSP'!K569</f>
        <v>0</v>
      </c>
      <c r="L569" s="21"/>
      <c r="M569" s="167">
        <f t="shared" si="56"/>
        <v>0</v>
      </c>
      <c r="N569" s="217"/>
      <c r="O569" s="123"/>
      <c r="P569" s="123"/>
      <c r="Q569" s="232"/>
      <c r="R569" s="232"/>
      <c r="S569" s="219"/>
      <c r="T569" s="221"/>
      <c r="U569" s="123"/>
    </row>
    <row r="570" spans="1:21" ht="12.75">
      <c r="A570" s="367">
        <f t="shared" si="54"/>
        <v>548</v>
      </c>
      <c r="B570" s="368"/>
      <c r="C570" s="368"/>
      <c r="D570" s="379" t="s">
        <v>154</v>
      </c>
      <c r="E570" s="66" t="s">
        <v>191</v>
      </c>
      <c r="F570" s="375"/>
      <c r="G570" s="79">
        <f t="shared" si="55"/>
        <v>226.56</v>
      </c>
      <c r="H570" s="375">
        <f>'BVC  MS'!H569+'BVC DSP'!H570</f>
        <v>0</v>
      </c>
      <c r="I570" s="375">
        <f>'BVC  MS'!I569+'BVC DSP'!I570</f>
        <v>0</v>
      </c>
      <c r="J570" s="375">
        <f>'BVC  MS'!J569+'BVC DSP'!J570</f>
        <v>136.1</v>
      </c>
      <c r="K570" s="375">
        <f>'BVC  MS'!K569+'BVC DSP'!K570</f>
        <v>90.46</v>
      </c>
      <c r="L570" s="21">
        <v>225.44</v>
      </c>
      <c r="M570" s="167">
        <f t="shared" si="56"/>
        <v>1.1200000000000045</v>
      </c>
      <c r="N570" s="217"/>
      <c r="O570" s="123"/>
      <c r="P570" s="123"/>
      <c r="Q570" s="232"/>
      <c r="R570" s="232"/>
      <c r="S570" s="219"/>
      <c r="T570" s="221"/>
      <c r="U570" s="123"/>
    </row>
    <row r="571" spans="1:21" ht="12.75">
      <c r="A571" s="367">
        <f t="shared" si="54"/>
        <v>549</v>
      </c>
      <c r="B571" s="368"/>
      <c r="C571" s="368"/>
      <c r="D571" s="379" t="s">
        <v>157</v>
      </c>
      <c r="E571" s="66" t="s">
        <v>192</v>
      </c>
      <c r="F571" s="375"/>
      <c r="G571" s="79">
        <f t="shared" si="55"/>
        <v>0</v>
      </c>
      <c r="H571" s="375">
        <f>'BVC  MS'!H570+'BVC DSP'!H571</f>
        <v>0</v>
      </c>
      <c r="I571" s="375">
        <f>'BVC  MS'!I570+'BVC DSP'!I571</f>
        <v>0</v>
      </c>
      <c r="J571" s="375">
        <f>'BVC  MS'!J570+'BVC DSP'!J571</f>
        <v>0</v>
      </c>
      <c r="K571" s="375">
        <f>'BVC  MS'!K570+'BVC DSP'!K571</f>
        <v>0</v>
      </c>
      <c r="L571" s="21"/>
      <c r="M571" s="167">
        <f t="shared" si="56"/>
        <v>0</v>
      </c>
      <c r="N571" s="217"/>
      <c r="O571" s="123"/>
      <c r="P571" s="123"/>
      <c r="Q571" s="232"/>
      <c r="R571" s="232"/>
      <c r="S571" s="219"/>
      <c r="T571" s="221"/>
      <c r="U571" s="123"/>
    </row>
    <row r="572" spans="1:21" ht="12.75">
      <c r="A572" s="367">
        <f t="shared" si="54"/>
        <v>550</v>
      </c>
      <c r="B572" s="368"/>
      <c r="C572" s="368"/>
      <c r="D572" s="379" t="s">
        <v>65</v>
      </c>
      <c r="E572" s="66" t="s">
        <v>193</v>
      </c>
      <c r="F572" s="375"/>
      <c r="G572" s="79">
        <f t="shared" si="55"/>
        <v>0</v>
      </c>
      <c r="H572" s="375">
        <f>'BVC  MS'!H571+'BVC DSP'!H572</f>
        <v>0</v>
      </c>
      <c r="I572" s="375">
        <f>'BVC  MS'!I571+'BVC DSP'!I572</f>
        <v>0</v>
      </c>
      <c r="J572" s="375">
        <f>'BVC  MS'!J571+'BVC DSP'!J572</f>
        <v>0</v>
      </c>
      <c r="K572" s="375">
        <f>'BVC  MS'!K571+'BVC DSP'!K572</f>
        <v>0</v>
      </c>
      <c r="L572" s="21"/>
      <c r="M572" s="167">
        <f t="shared" si="56"/>
        <v>0</v>
      </c>
      <c r="N572" s="217"/>
      <c r="O572" s="123"/>
      <c r="P572" s="123"/>
      <c r="Q572" s="232"/>
      <c r="R572" s="232"/>
      <c r="S572" s="219"/>
      <c r="T572" s="221"/>
      <c r="U572" s="123"/>
    </row>
    <row r="573" spans="1:21" ht="12.75">
      <c r="A573" s="367">
        <f t="shared" si="54"/>
        <v>551</v>
      </c>
      <c r="B573" s="368"/>
      <c r="C573" s="368"/>
      <c r="D573" s="379" t="s">
        <v>160</v>
      </c>
      <c r="E573" s="66" t="s">
        <v>194</v>
      </c>
      <c r="F573" s="375"/>
      <c r="G573" s="79">
        <f t="shared" si="55"/>
        <v>0</v>
      </c>
      <c r="H573" s="375">
        <f>'BVC  MS'!H572+'BVC DSP'!H573</f>
        <v>0</v>
      </c>
      <c r="I573" s="375">
        <f>'BVC  MS'!I572+'BVC DSP'!I573</f>
        <v>0</v>
      </c>
      <c r="J573" s="375">
        <f>'BVC  MS'!J572+'BVC DSP'!J573</f>
        <v>0</v>
      </c>
      <c r="K573" s="375">
        <f>'BVC  MS'!K572+'BVC DSP'!K573</f>
        <v>0</v>
      </c>
      <c r="L573" s="21"/>
      <c r="M573" s="167">
        <f t="shared" si="56"/>
        <v>0</v>
      </c>
      <c r="N573" s="217"/>
      <c r="O573" s="123"/>
      <c r="P573" s="123"/>
      <c r="Q573" s="232"/>
      <c r="R573" s="232"/>
      <c r="S573" s="219"/>
      <c r="T573" s="221"/>
      <c r="U573" s="123"/>
    </row>
    <row r="574" spans="1:21" ht="12.75">
      <c r="A574" s="367">
        <f t="shared" si="54"/>
        <v>552</v>
      </c>
      <c r="B574" s="368"/>
      <c r="C574" s="368"/>
      <c r="D574" s="369">
        <v>30</v>
      </c>
      <c r="E574" s="66" t="s">
        <v>271</v>
      </c>
      <c r="F574" s="375"/>
      <c r="G574" s="79">
        <f t="shared" si="55"/>
        <v>634.14</v>
      </c>
      <c r="H574" s="375">
        <f>'BVC  MS'!H573+'BVC DSP'!H574</f>
        <v>0</v>
      </c>
      <c r="I574" s="375">
        <f>'BVC  MS'!I573+'BVC DSP'!I574</f>
        <v>76</v>
      </c>
      <c r="J574" s="375">
        <f>'BVC  MS'!J573+'BVC DSP'!J574</f>
        <v>258.14</v>
      </c>
      <c r="K574" s="375">
        <f>'BVC  MS'!K573+'BVC DSP'!K574</f>
        <v>300</v>
      </c>
      <c r="L574" s="21">
        <v>42.95</v>
      </c>
      <c r="M574" s="167">
        <f t="shared" si="56"/>
        <v>591.1899999999999</v>
      </c>
      <c r="N574" s="217"/>
      <c r="O574" s="123"/>
      <c r="P574" s="123"/>
      <c r="Q574" s="232"/>
      <c r="R574" s="232"/>
      <c r="S574" s="219"/>
      <c r="T574" s="130"/>
      <c r="U574" s="123"/>
    </row>
    <row r="575" spans="1:21" ht="12.75">
      <c r="A575" s="367">
        <f t="shared" si="54"/>
        <v>553</v>
      </c>
      <c r="B575" s="368"/>
      <c r="C575" s="377" t="s">
        <v>80</v>
      </c>
      <c r="D575" s="86"/>
      <c r="E575" s="59" t="s">
        <v>196</v>
      </c>
      <c r="F575" s="375"/>
      <c r="G575" s="49">
        <f t="shared" si="55"/>
        <v>2.64</v>
      </c>
      <c r="H575" s="375">
        <f>'BVC  MS'!H574+'BVC DSP'!H575</f>
        <v>0</v>
      </c>
      <c r="I575" s="375">
        <f>'BVC  MS'!I574+'BVC DSP'!I575</f>
        <v>0</v>
      </c>
      <c r="J575" s="375">
        <f>'BVC  MS'!J574+'BVC DSP'!J575</f>
        <v>2.64</v>
      </c>
      <c r="K575" s="375">
        <f>'BVC  MS'!K574+'BVC DSP'!K575</f>
        <v>0</v>
      </c>
      <c r="L575" s="21">
        <v>2.64</v>
      </c>
      <c r="M575" s="167">
        <f t="shared" si="56"/>
        <v>0</v>
      </c>
      <c r="N575" s="217"/>
      <c r="O575" s="123"/>
      <c r="P575" s="123"/>
      <c r="Q575" s="232"/>
      <c r="R575" s="232"/>
      <c r="S575" s="220"/>
      <c r="T575" s="99"/>
      <c r="U575" s="123"/>
    </row>
    <row r="576" spans="1:21" ht="12.75">
      <c r="A576" s="367">
        <f t="shared" si="54"/>
        <v>554</v>
      </c>
      <c r="B576" s="368"/>
      <c r="C576" s="377" t="s">
        <v>84</v>
      </c>
      <c r="D576" s="86"/>
      <c r="E576" s="59" t="s">
        <v>197</v>
      </c>
      <c r="F576" s="49">
        <f>+F577+F578</f>
        <v>0</v>
      </c>
      <c r="G576" s="50">
        <f t="shared" si="55"/>
        <v>0</v>
      </c>
      <c r="H576" s="166">
        <f>+H577+H578</f>
        <v>0</v>
      </c>
      <c r="I576" s="166">
        <f>+I577+I578</f>
        <v>0</v>
      </c>
      <c r="J576" s="166">
        <f>+J577+J578</f>
        <v>0</v>
      </c>
      <c r="K576" s="166">
        <v>0</v>
      </c>
      <c r="L576" s="21"/>
      <c r="M576" s="167">
        <f t="shared" si="56"/>
        <v>0</v>
      </c>
      <c r="N576" s="217"/>
      <c r="O576" s="123"/>
      <c r="P576" s="123"/>
      <c r="Q576" s="232"/>
      <c r="R576" s="232"/>
      <c r="S576" s="220"/>
      <c r="T576" s="99"/>
      <c r="U576" s="123"/>
    </row>
    <row r="577" spans="1:21" ht="12.75">
      <c r="A577" s="367">
        <f t="shared" si="54"/>
        <v>555</v>
      </c>
      <c r="B577" s="368"/>
      <c r="C577" s="368"/>
      <c r="D577" s="379" t="s">
        <v>47</v>
      </c>
      <c r="E577" s="66" t="s">
        <v>198</v>
      </c>
      <c r="F577" s="375"/>
      <c r="G577" s="79">
        <f t="shared" si="55"/>
        <v>0</v>
      </c>
      <c r="H577" s="375">
        <f>'BVC  MS'!H576+'BVC DSP'!H577</f>
        <v>0</v>
      </c>
      <c r="I577" s="375">
        <f>'BVC  MS'!I576+'BVC DSP'!I577</f>
        <v>0</v>
      </c>
      <c r="J577" s="375">
        <f>'BVC  MS'!J576+'BVC DSP'!J577</f>
        <v>0</v>
      </c>
      <c r="K577" s="375">
        <f>'BVC  MS'!K576+'BVC DSP'!K577</f>
        <v>0</v>
      </c>
      <c r="L577" s="21"/>
      <c r="M577" s="167">
        <f t="shared" si="56"/>
        <v>0</v>
      </c>
      <c r="N577" s="217"/>
      <c r="O577" s="123"/>
      <c r="P577" s="123"/>
      <c r="Q577" s="232"/>
      <c r="R577" s="232"/>
      <c r="S577" s="219"/>
      <c r="T577" s="221"/>
      <c r="U577" s="123"/>
    </row>
    <row r="578" spans="1:21" ht="12.75">
      <c r="A578" s="367">
        <f t="shared" si="54"/>
        <v>556</v>
      </c>
      <c r="B578" s="368"/>
      <c r="C578" s="368"/>
      <c r="D578" s="379" t="s">
        <v>80</v>
      </c>
      <c r="E578" s="66" t="s">
        <v>199</v>
      </c>
      <c r="F578" s="375"/>
      <c r="G578" s="79">
        <f t="shared" si="55"/>
        <v>0</v>
      </c>
      <c r="H578" s="375">
        <f>'BVC  MS'!H577+'BVC DSP'!H578</f>
        <v>0</v>
      </c>
      <c r="I578" s="375">
        <f>'BVC  MS'!I577+'BVC DSP'!I578</f>
        <v>0</v>
      </c>
      <c r="J578" s="375">
        <f>'BVC  MS'!J577+'BVC DSP'!J578</f>
        <v>0</v>
      </c>
      <c r="K578" s="375">
        <f>'BVC  MS'!K577+'BVC DSP'!K578</f>
        <v>0</v>
      </c>
      <c r="L578" s="21"/>
      <c r="M578" s="167">
        <f t="shared" si="56"/>
        <v>0</v>
      </c>
      <c r="N578" s="217"/>
      <c r="O578" s="123"/>
      <c r="P578" s="123"/>
      <c r="Q578" s="232"/>
      <c r="R578" s="232"/>
      <c r="S578" s="219"/>
      <c r="T578" s="221"/>
      <c r="U578" s="123"/>
    </row>
    <row r="579" spans="1:21" ht="12.75">
      <c r="A579" s="367">
        <f t="shared" si="54"/>
        <v>557</v>
      </c>
      <c r="B579" s="368"/>
      <c r="C579" s="377" t="s">
        <v>108</v>
      </c>
      <c r="D579" s="369"/>
      <c r="E579" s="59" t="s">
        <v>200</v>
      </c>
      <c r="F579" s="49">
        <f>+F580+F581+F582+F583</f>
        <v>0</v>
      </c>
      <c r="G579" s="50">
        <f t="shared" si="55"/>
        <v>2473.3</v>
      </c>
      <c r="H579" s="166">
        <f>+H580+H581+H582+H583</f>
        <v>1120</v>
      </c>
      <c r="I579" s="166">
        <f>+I580+I581+I582+I583</f>
        <v>497</v>
      </c>
      <c r="J579" s="166">
        <f>+J580+J581+J582+J583</f>
        <v>520.54</v>
      </c>
      <c r="K579" s="166">
        <f>+K580+K581+K582+K583</f>
        <v>335.76000000000005</v>
      </c>
      <c r="L579" s="21"/>
      <c r="M579" s="167">
        <f t="shared" si="56"/>
        <v>2473.3</v>
      </c>
      <c r="N579" s="217"/>
      <c r="O579" s="123"/>
      <c r="P579" s="123"/>
      <c r="Q579" s="232"/>
      <c r="R579" s="232"/>
      <c r="S579" s="220"/>
      <c r="T579" s="130"/>
      <c r="U579" s="123"/>
    </row>
    <row r="580" spans="1:21" ht="12.75">
      <c r="A580" s="367">
        <f t="shared" si="54"/>
        <v>558</v>
      </c>
      <c r="B580" s="368"/>
      <c r="C580" s="368"/>
      <c r="D580" s="379" t="s">
        <v>47</v>
      </c>
      <c r="E580" s="66" t="s">
        <v>201</v>
      </c>
      <c r="F580" s="375"/>
      <c r="G580" s="79">
        <f t="shared" si="55"/>
        <v>880.04</v>
      </c>
      <c r="H580" s="375">
        <f>'BVC  MS'!H579+'BVC DSP'!H580</f>
        <v>500</v>
      </c>
      <c r="I580" s="375">
        <f>'BVC  MS'!I579+'BVC DSP'!I580</f>
        <v>197</v>
      </c>
      <c r="J580" s="375">
        <f>'BVC  MS'!J579+'BVC DSP'!J580</f>
        <v>163</v>
      </c>
      <c r="K580" s="375">
        <f>'BVC  MS'!K579+'BVC DSP'!K580</f>
        <v>20.04</v>
      </c>
      <c r="L580" s="21">
        <v>40.01</v>
      </c>
      <c r="M580" s="167">
        <f t="shared" si="56"/>
        <v>840.03</v>
      </c>
      <c r="N580" s="217"/>
      <c r="O580" s="123"/>
      <c r="P580" s="123"/>
      <c r="Q580" s="232"/>
      <c r="R580" s="232"/>
      <c r="S580" s="219"/>
      <c r="T580" s="221"/>
      <c r="U580" s="123"/>
    </row>
    <row r="581" spans="1:21" ht="12.75">
      <c r="A581" s="367">
        <f t="shared" si="54"/>
        <v>559</v>
      </c>
      <c r="B581" s="368"/>
      <c r="C581" s="368"/>
      <c r="D581" s="379" t="s">
        <v>80</v>
      </c>
      <c r="E581" s="66" t="s">
        <v>202</v>
      </c>
      <c r="F581" s="375"/>
      <c r="G581" s="79">
        <f t="shared" si="55"/>
        <v>840.76</v>
      </c>
      <c r="H581" s="375">
        <f>'BVC  MS'!H580+'BVC DSP'!H581</f>
        <v>410</v>
      </c>
      <c r="I581" s="375">
        <f>'BVC  MS'!I580+'BVC DSP'!I581</f>
        <v>200</v>
      </c>
      <c r="J581" s="375">
        <f>'BVC  MS'!J580+'BVC DSP'!J581</f>
        <v>227.51</v>
      </c>
      <c r="K581" s="375">
        <f>'BVC  MS'!K580+'BVC DSP'!K581</f>
        <v>3.25</v>
      </c>
      <c r="L581" s="21">
        <v>838.64</v>
      </c>
      <c r="M581" s="167">
        <f t="shared" si="56"/>
        <v>2.1200000000000045</v>
      </c>
      <c r="N581" s="217"/>
      <c r="O581" s="123"/>
      <c r="P581" s="123"/>
      <c r="Q581" s="232"/>
      <c r="R581" s="232"/>
      <c r="S581" s="219"/>
      <c r="T581" s="221"/>
      <c r="U581" s="123"/>
    </row>
    <row r="582" spans="1:21" ht="12.75">
      <c r="A582" s="367">
        <f t="shared" si="54"/>
        <v>560</v>
      </c>
      <c r="B582" s="368"/>
      <c r="C582" s="368"/>
      <c r="D582" s="379" t="s">
        <v>84</v>
      </c>
      <c r="E582" s="66" t="s">
        <v>203</v>
      </c>
      <c r="F582" s="375"/>
      <c r="G582" s="79">
        <f t="shared" si="55"/>
        <v>752.5</v>
      </c>
      <c r="H582" s="375">
        <f>'BVC  MS'!H581+'BVC DSP'!H582</f>
        <v>210</v>
      </c>
      <c r="I582" s="375">
        <f>'BVC  MS'!I581+'BVC DSP'!I582</f>
        <v>100</v>
      </c>
      <c r="J582" s="375">
        <f>'BVC  MS'!J581+'BVC DSP'!J582</f>
        <v>130.03</v>
      </c>
      <c r="K582" s="375">
        <f>'BVC  MS'!K581+'BVC DSP'!K582</f>
        <v>312.47</v>
      </c>
      <c r="L582" s="21">
        <v>752.5</v>
      </c>
      <c r="M582" s="167">
        <f t="shared" si="56"/>
        <v>0</v>
      </c>
      <c r="N582" s="217"/>
      <c r="O582" s="123"/>
      <c r="P582" s="123"/>
      <c r="Q582" s="232"/>
      <c r="R582" s="232"/>
      <c r="S582" s="219"/>
      <c r="T582" s="221"/>
      <c r="U582" s="123"/>
    </row>
    <row r="583" spans="1:21" ht="12.75">
      <c r="A583" s="367">
        <f t="shared" si="54"/>
        <v>561</v>
      </c>
      <c r="B583" s="368"/>
      <c r="C583" s="368"/>
      <c r="D583" s="379" t="s">
        <v>108</v>
      </c>
      <c r="E583" s="66" t="s">
        <v>204</v>
      </c>
      <c r="F583" s="375"/>
      <c r="G583" s="79">
        <f t="shared" si="55"/>
        <v>0</v>
      </c>
      <c r="H583" s="375">
        <f>'BVC  MS'!H582+'BVC DSP'!H583</f>
        <v>0</v>
      </c>
      <c r="I583" s="375">
        <f>'BVC  MS'!I582+'BVC DSP'!I583</f>
        <v>0</v>
      </c>
      <c r="J583" s="375">
        <f>'BVC  MS'!J582+'BVC DSP'!J583</f>
        <v>0</v>
      </c>
      <c r="K583" s="375">
        <f>'BVC  MS'!K582+'BVC DSP'!K583</f>
        <v>0</v>
      </c>
      <c r="L583" s="21">
        <v>0</v>
      </c>
      <c r="M583" s="167">
        <f t="shared" si="56"/>
        <v>0</v>
      </c>
      <c r="N583" s="217"/>
      <c r="O583" s="123"/>
      <c r="P583" s="123"/>
      <c r="Q583" s="232"/>
      <c r="R583" s="232"/>
      <c r="S583" s="219"/>
      <c r="T583" s="221"/>
      <c r="U583" s="123"/>
    </row>
    <row r="584" spans="1:21" ht="12.75">
      <c r="A584" s="367">
        <f t="shared" si="54"/>
        <v>562</v>
      </c>
      <c r="B584" s="368"/>
      <c r="C584" s="377" t="s">
        <v>41</v>
      </c>
      <c r="D584" s="369"/>
      <c r="E584" s="85" t="s">
        <v>205</v>
      </c>
      <c r="F584" s="49">
        <f>+F585+F586+F587</f>
        <v>0</v>
      </c>
      <c r="G584" s="50">
        <f t="shared" si="55"/>
        <v>70.36</v>
      </c>
      <c r="H584" s="166">
        <f>+H585+H586+H587</f>
        <v>0</v>
      </c>
      <c r="I584" s="166">
        <f>+I585+I586+I587</f>
        <v>0</v>
      </c>
      <c r="J584" s="166">
        <f>+J585+J586+J587</f>
        <v>37.22</v>
      </c>
      <c r="K584" s="166">
        <f>+K585+K586+K587</f>
        <v>33.14</v>
      </c>
      <c r="L584" s="21"/>
      <c r="M584" s="167">
        <f t="shared" si="56"/>
        <v>70.36</v>
      </c>
      <c r="N584" s="217"/>
      <c r="O584" s="123"/>
      <c r="P584" s="123"/>
      <c r="Q584" s="232"/>
      <c r="R584" s="232"/>
      <c r="S584" s="220"/>
      <c r="T584" s="130"/>
      <c r="U584" s="123"/>
    </row>
    <row r="585" spans="1:21" ht="12.75">
      <c r="A585" s="367">
        <f t="shared" si="54"/>
        <v>563</v>
      </c>
      <c r="B585" s="368"/>
      <c r="C585" s="368"/>
      <c r="D585" s="379" t="s">
        <v>47</v>
      </c>
      <c r="E585" s="66" t="s">
        <v>206</v>
      </c>
      <c r="F585" s="375"/>
      <c r="G585" s="79">
        <f t="shared" si="55"/>
        <v>0</v>
      </c>
      <c r="H585" s="375">
        <f>'BVC  MS'!H584+'BVC DSP'!H585</f>
        <v>0</v>
      </c>
      <c r="I585" s="375">
        <f>'BVC  MS'!I584+'BVC DSP'!I585</f>
        <v>0</v>
      </c>
      <c r="J585" s="375">
        <f>'BVC  MS'!J584+'BVC DSP'!J585</f>
        <v>0</v>
      </c>
      <c r="K585" s="375">
        <f>'BVC  MS'!K584+'BVC DSP'!K585</f>
        <v>0</v>
      </c>
      <c r="L585" s="21"/>
      <c r="M585" s="167">
        <f t="shared" si="56"/>
        <v>0</v>
      </c>
      <c r="N585" s="217"/>
      <c r="O585" s="123"/>
      <c r="P585" s="123"/>
      <c r="Q585" s="232"/>
      <c r="R585" s="232"/>
      <c r="S585" s="219"/>
      <c r="T585" s="221"/>
      <c r="U585" s="123"/>
    </row>
    <row r="586" spans="1:21" ht="12.75">
      <c r="A586" s="367">
        <f t="shared" si="54"/>
        <v>564</v>
      </c>
      <c r="B586" s="368"/>
      <c r="C586" s="368"/>
      <c r="D586" s="379" t="s">
        <v>84</v>
      </c>
      <c r="E586" s="66" t="s">
        <v>207</v>
      </c>
      <c r="F586" s="375"/>
      <c r="G586" s="79">
        <f t="shared" si="55"/>
        <v>3.31</v>
      </c>
      <c r="H586" s="375">
        <f>'BVC  MS'!H585+'BVC DSP'!H586</f>
        <v>0</v>
      </c>
      <c r="I586" s="375">
        <f>'BVC  MS'!I585+'BVC DSP'!I586</f>
        <v>0</v>
      </c>
      <c r="J586" s="375">
        <f>'BVC  MS'!J585+'BVC DSP'!J586</f>
        <v>0</v>
      </c>
      <c r="K586" s="375">
        <f>'BVC  MS'!K585+'BVC DSP'!K586</f>
        <v>3.31</v>
      </c>
      <c r="L586" s="21">
        <v>3.31</v>
      </c>
      <c r="M586" s="167">
        <f t="shared" si="56"/>
        <v>0</v>
      </c>
      <c r="N586" s="217"/>
      <c r="O586" s="123"/>
      <c r="P586" s="123"/>
      <c r="Q586" s="232"/>
      <c r="R586" s="232"/>
      <c r="S586" s="219"/>
      <c r="T586" s="221"/>
      <c r="U586" s="123"/>
    </row>
    <row r="587" spans="1:21" ht="12.75">
      <c r="A587" s="367">
        <f t="shared" si="54"/>
        <v>565</v>
      </c>
      <c r="B587" s="368"/>
      <c r="C587" s="368"/>
      <c r="D587" s="369">
        <v>30</v>
      </c>
      <c r="E587" s="66" t="s">
        <v>208</v>
      </c>
      <c r="F587" s="375"/>
      <c r="G587" s="79">
        <f t="shared" si="55"/>
        <v>67.05</v>
      </c>
      <c r="H587" s="375">
        <f>'BVC  MS'!H586+'BVC DSP'!H587</f>
        <v>0</v>
      </c>
      <c r="I587" s="375">
        <f>'BVC  MS'!I586+'BVC DSP'!I587</f>
        <v>0</v>
      </c>
      <c r="J587" s="375">
        <f>'BVC  MS'!J586+'BVC DSP'!J587</f>
        <v>37.22</v>
      </c>
      <c r="K587" s="375">
        <f>'BVC  MS'!K586+'BVC DSP'!K587</f>
        <v>29.83</v>
      </c>
      <c r="L587" s="21">
        <v>54.36</v>
      </c>
      <c r="M587" s="167">
        <f t="shared" si="56"/>
        <v>12.689999999999998</v>
      </c>
      <c r="N587" s="217"/>
      <c r="O587" s="123"/>
      <c r="P587" s="123"/>
      <c r="Q587" s="232"/>
      <c r="R587" s="232"/>
      <c r="S587" s="219"/>
      <c r="T587" s="130"/>
      <c r="U587" s="123"/>
    </row>
    <row r="588" spans="1:21" ht="12.75">
      <c r="A588" s="367">
        <f t="shared" si="54"/>
        <v>566</v>
      </c>
      <c r="B588" s="368"/>
      <c r="C588" s="377" t="s">
        <v>154</v>
      </c>
      <c r="D588" s="369"/>
      <c r="E588" s="59" t="s">
        <v>209</v>
      </c>
      <c r="F588" s="49">
        <f>+F589+F590</f>
        <v>0</v>
      </c>
      <c r="G588" s="50">
        <f t="shared" si="55"/>
        <v>5.48</v>
      </c>
      <c r="H588" s="166">
        <f>+H589+H590</f>
        <v>0</v>
      </c>
      <c r="I588" s="166">
        <f>+I589+I590</f>
        <v>3</v>
      </c>
      <c r="J588" s="166">
        <f>+J589+J590</f>
        <v>2.48</v>
      </c>
      <c r="K588" s="166">
        <f>+K589+K590</f>
        <v>0</v>
      </c>
      <c r="L588" s="21"/>
      <c r="M588" s="167">
        <f t="shared" si="56"/>
        <v>5.48</v>
      </c>
      <c r="N588" s="217"/>
      <c r="O588" s="123"/>
      <c r="P588" s="123"/>
      <c r="Q588" s="232"/>
      <c r="R588" s="232"/>
      <c r="S588" s="220"/>
      <c r="T588" s="130"/>
      <c r="U588" s="123"/>
    </row>
    <row r="589" spans="1:21" ht="12.75">
      <c r="A589" s="367">
        <f t="shared" si="54"/>
        <v>567</v>
      </c>
      <c r="B589" s="368"/>
      <c r="C589" s="368"/>
      <c r="D589" s="379" t="s">
        <v>47</v>
      </c>
      <c r="E589" s="78" t="s">
        <v>272</v>
      </c>
      <c r="F589" s="375"/>
      <c r="G589" s="79">
        <f t="shared" si="55"/>
        <v>5.48</v>
      </c>
      <c r="H589" s="375">
        <f>'BVC  MS'!H588+'BVC DSP'!H589</f>
        <v>0</v>
      </c>
      <c r="I589" s="375">
        <f>'BVC  MS'!I588+'BVC DSP'!I589</f>
        <v>3</v>
      </c>
      <c r="J589" s="375">
        <f>'BVC  MS'!J588+'BVC DSP'!J589</f>
        <v>2.48</v>
      </c>
      <c r="K589" s="375">
        <f>'BVC  MS'!K588+'BVC DSP'!K589</f>
        <v>0</v>
      </c>
      <c r="L589" s="21">
        <v>2.48</v>
      </c>
      <c r="M589" s="167">
        <f t="shared" si="56"/>
        <v>3.0000000000000004</v>
      </c>
      <c r="N589" s="217"/>
      <c r="O589" s="123"/>
      <c r="P589" s="123"/>
      <c r="Q589" s="232"/>
      <c r="R589" s="232"/>
      <c r="S589" s="219"/>
      <c r="T589" s="221"/>
      <c r="U589" s="123"/>
    </row>
    <row r="590" spans="1:21" ht="12.75">
      <c r="A590" s="367">
        <f t="shared" si="54"/>
        <v>568</v>
      </c>
      <c r="B590" s="368"/>
      <c r="C590" s="368"/>
      <c r="D590" s="379" t="s">
        <v>80</v>
      </c>
      <c r="E590" s="66" t="s">
        <v>211</v>
      </c>
      <c r="F590" s="375"/>
      <c r="G590" s="79">
        <f t="shared" si="55"/>
        <v>0</v>
      </c>
      <c r="H590" s="375">
        <f>'BVC  MS'!H589+'BVC DSP'!H590</f>
        <v>0</v>
      </c>
      <c r="I590" s="375">
        <f>'BVC  MS'!I589+'BVC DSP'!I590</f>
        <v>0</v>
      </c>
      <c r="J590" s="375">
        <f>'BVC  MS'!J589+'BVC DSP'!J590</f>
        <v>0</v>
      </c>
      <c r="K590" s="375">
        <f>'BVC  MS'!K589+'BVC DSP'!K590</f>
        <v>0</v>
      </c>
      <c r="L590" s="21"/>
      <c r="M590" s="167">
        <f t="shared" si="56"/>
        <v>0</v>
      </c>
      <c r="N590" s="217"/>
      <c r="O590" s="123"/>
      <c r="P590" s="123"/>
      <c r="Q590" s="232"/>
      <c r="R590" s="232"/>
      <c r="S590" s="219"/>
      <c r="T590" s="221"/>
      <c r="U590" s="123"/>
    </row>
    <row r="591" spans="1:21" ht="12.75">
      <c r="A591" s="367">
        <f t="shared" si="54"/>
        <v>569</v>
      </c>
      <c r="B591" s="368"/>
      <c r="C591" s="377" t="s">
        <v>160</v>
      </c>
      <c r="D591" s="369"/>
      <c r="E591" s="85" t="s">
        <v>212</v>
      </c>
      <c r="F591" s="375"/>
      <c r="G591" s="49">
        <f t="shared" si="55"/>
        <v>95.27</v>
      </c>
      <c r="H591" s="375">
        <f>'BVC  MS'!H590+'BVC DSP'!H591</f>
        <v>0</v>
      </c>
      <c r="I591" s="375">
        <f>'BVC  MS'!I590+'BVC DSP'!I591</f>
        <v>0</v>
      </c>
      <c r="J591" s="375">
        <f>'BVC  MS'!J590+'BVC DSP'!J591</f>
        <v>0</v>
      </c>
      <c r="K591" s="375">
        <f>'BVC  MS'!K590+'BVC DSP'!K591</f>
        <v>95.27</v>
      </c>
      <c r="L591" s="21">
        <v>95.27</v>
      </c>
      <c r="M591" s="167">
        <f t="shared" si="56"/>
        <v>0</v>
      </c>
      <c r="N591" s="217"/>
      <c r="O591" s="123"/>
      <c r="P591" s="123"/>
      <c r="Q591" s="232"/>
      <c r="R591" s="232"/>
      <c r="S591" s="220"/>
      <c r="T591" s="130"/>
      <c r="U591" s="123"/>
    </row>
    <row r="592" spans="1:21" ht="12.75">
      <c r="A592" s="367">
        <f t="shared" si="54"/>
        <v>570</v>
      </c>
      <c r="B592" s="368"/>
      <c r="C592" s="368">
        <v>10</v>
      </c>
      <c r="D592" s="369"/>
      <c r="E592" s="85" t="s">
        <v>213</v>
      </c>
      <c r="F592" s="375"/>
      <c r="G592" s="79">
        <f t="shared" si="55"/>
        <v>0</v>
      </c>
      <c r="H592" s="375">
        <f>'BVC  MS'!H591+'BVC DSP'!H592</f>
        <v>0</v>
      </c>
      <c r="I592" s="375">
        <f>'BVC  MS'!I591+'BVC DSP'!I592</f>
        <v>0</v>
      </c>
      <c r="J592" s="375">
        <f>'BVC  MS'!J591+'BVC DSP'!J592</f>
        <v>0</v>
      </c>
      <c r="K592" s="375">
        <f>'BVC  MS'!K591+'BVC DSP'!K592</f>
        <v>0</v>
      </c>
      <c r="L592" s="21"/>
      <c r="M592" s="167">
        <f t="shared" si="56"/>
        <v>0</v>
      </c>
      <c r="N592" s="217"/>
      <c r="O592" s="123"/>
      <c r="P592" s="123"/>
      <c r="Q592" s="232"/>
      <c r="R592" s="232"/>
      <c r="S592" s="219"/>
      <c r="T592" s="130"/>
      <c r="U592" s="123"/>
    </row>
    <row r="593" spans="1:21" ht="12.75">
      <c r="A593" s="367">
        <f t="shared" si="54"/>
        <v>571</v>
      </c>
      <c r="B593" s="368"/>
      <c r="C593" s="368">
        <v>11</v>
      </c>
      <c r="D593" s="369"/>
      <c r="E593" s="85" t="s">
        <v>273</v>
      </c>
      <c r="F593" s="375"/>
      <c r="G593" s="79">
        <f t="shared" si="55"/>
        <v>0</v>
      </c>
      <c r="H593" s="375">
        <f>'BVC  MS'!H592+'BVC DSP'!H593</f>
        <v>0</v>
      </c>
      <c r="I593" s="375">
        <f>'BVC  MS'!I592+'BVC DSP'!I593</f>
        <v>0</v>
      </c>
      <c r="J593" s="375">
        <f>'BVC  MS'!J592+'BVC DSP'!J593</f>
        <v>0</v>
      </c>
      <c r="K593" s="375">
        <f>'BVC  MS'!K592+'BVC DSP'!K593</f>
        <v>0</v>
      </c>
      <c r="L593" s="21"/>
      <c r="N593" s="217"/>
      <c r="O593" s="123"/>
      <c r="P593" s="123"/>
      <c r="Q593" s="232"/>
      <c r="R593" s="232"/>
      <c r="S593" s="219"/>
      <c r="T593" s="130"/>
      <c r="U593" s="123"/>
    </row>
    <row r="594" spans="1:21" ht="12.75">
      <c r="A594" s="367">
        <f t="shared" si="54"/>
        <v>572</v>
      </c>
      <c r="B594" s="368"/>
      <c r="C594" s="368">
        <v>12</v>
      </c>
      <c r="D594" s="369"/>
      <c r="E594" s="85" t="s">
        <v>274</v>
      </c>
      <c r="F594" s="375"/>
      <c r="G594" s="79">
        <f t="shared" si="55"/>
        <v>0</v>
      </c>
      <c r="H594" s="375">
        <f>'BVC  MS'!H593+'BVC DSP'!H594</f>
        <v>0</v>
      </c>
      <c r="I594" s="375">
        <f>'BVC  MS'!I593+'BVC DSP'!I594</f>
        <v>0</v>
      </c>
      <c r="J594" s="375">
        <f>'BVC  MS'!J593+'BVC DSP'!J594</f>
        <v>0</v>
      </c>
      <c r="K594" s="375">
        <f>'BVC  MS'!K593+'BVC DSP'!K594</f>
        <v>0</v>
      </c>
      <c r="L594" s="21"/>
      <c r="N594" s="217"/>
      <c r="O594" s="123"/>
      <c r="P594" s="123"/>
      <c r="Q594" s="232"/>
      <c r="R594" s="232"/>
      <c r="S594" s="219"/>
      <c r="T594" s="130"/>
      <c r="U594" s="123"/>
    </row>
    <row r="595" spans="1:21" ht="12.75">
      <c r="A595" s="367">
        <f t="shared" si="54"/>
        <v>573</v>
      </c>
      <c r="B595" s="368"/>
      <c r="C595" s="368">
        <v>13</v>
      </c>
      <c r="D595" s="369"/>
      <c r="E595" s="85" t="s">
        <v>216</v>
      </c>
      <c r="F595" s="375"/>
      <c r="G595" s="79">
        <f t="shared" si="55"/>
        <v>0</v>
      </c>
      <c r="H595" s="375">
        <f>'BVC  MS'!H594+'BVC DSP'!H595</f>
        <v>0</v>
      </c>
      <c r="I595" s="375">
        <f>'BVC  MS'!I594+'BVC DSP'!I595</f>
        <v>0</v>
      </c>
      <c r="J595" s="375">
        <f>'BVC  MS'!J594+'BVC DSP'!J595</f>
        <v>0</v>
      </c>
      <c r="K595" s="375">
        <f>'BVC  MS'!K594+'BVC DSP'!K595</f>
        <v>0</v>
      </c>
      <c r="L595" s="21"/>
      <c r="N595" s="217"/>
      <c r="O595" s="123"/>
      <c r="P595" s="123"/>
      <c r="Q595" s="232"/>
      <c r="R595" s="232"/>
      <c r="S595" s="219"/>
      <c r="T595" s="130"/>
      <c r="U595" s="123"/>
    </row>
    <row r="596" spans="1:21" ht="12.75">
      <c r="A596" s="367">
        <f t="shared" si="54"/>
        <v>574</v>
      </c>
      <c r="B596" s="368"/>
      <c r="C596" s="368">
        <v>14</v>
      </c>
      <c r="D596" s="369"/>
      <c r="E596" s="85" t="s">
        <v>217</v>
      </c>
      <c r="F596" s="375"/>
      <c r="G596" s="79">
        <f t="shared" si="55"/>
        <v>0</v>
      </c>
      <c r="H596" s="375">
        <f>'BVC  MS'!H595+'BVC DSP'!H596</f>
        <v>0</v>
      </c>
      <c r="I596" s="375">
        <f>'BVC  MS'!I595+'BVC DSP'!I596</f>
        <v>0</v>
      </c>
      <c r="J596" s="375">
        <f>'BVC  MS'!J595+'BVC DSP'!J596</f>
        <v>0</v>
      </c>
      <c r="K596" s="375">
        <f>'BVC  MS'!K595+'BVC DSP'!K596</f>
        <v>0</v>
      </c>
      <c r="L596" s="21"/>
      <c r="N596" s="217"/>
      <c r="O596" s="123"/>
      <c r="P596" s="123"/>
      <c r="Q596" s="232"/>
      <c r="R596" s="232"/>
      <c r="S596" s="219"/>
      <c r="T596" s="130"/>
      <c r="U596" s="123"/>
    </row>
    <row r="597" spans="1:21" ht="12.75">
      <c r="A597" s="367">
        <f t="shared" si="54"/>
        <v>575</v>
      </c>
      <c r="B597" s="368"/>
      <c r="C597" s="368">
        <v>25</v>
      </c>
      <c r="D597" s="369"/>
      <c r="E597" s="85" t="s">
        <v>218</v>
      </c>
      <c r="F597" s="375"/>
      <c r="G597" s="79">
        <f t="shared" si="55"/>
        <v>0</v>
      </c>
      <c r="H597" s="375">
        <f>'BVC  MS'!H596+'BVC DSP'!H597</f>
        <v>0</v>
      </c>
      <c r="I597" s="375">
        <f>'BVC  MS'!I596+'BVC DSP'!I597</f>
        <v>0</v>
      </c>
      <c r="J597" s="375">
        <f>'BVC  MS'!J596+'BVC DSP'!J597</f>
        <v>0</v>
      </c>
      <c r="K597" s="375">
        <f>'BVC  MS'!K596+'BVC DSP'!K597</f>
        <v>0</v>
      </c>
      <c r="L597" s="21"/>
      <c r="N597" s="217"/>
      <c r="O597" s="123"/>
      <c r="P597" s="123"/>
      <c r="Q597" s="232"/>
      <c r="R597" s="232"/>
      <c r="S597" s="219"/>
      <c r="T597" s="130"/>
      <c r="U597" s="123"/>
    </row>
    <row r="598" spans="1:21" ht="12.75">
      <c r="A598" s="367">
        <f t="shared" si="54"/>
        <v>576</v>
      </c>
      <c r="B598" s="368"/>
      <c r="C598" s="368">
        <v>27</v>
      </c>
      <c r="D598" s="369"/>
      <c r="E598" s="85" t="s">
        <v>219</v>
      </c>
      <c r="F598" s="375"/>
      <c r="G598" s="79">
        <f t="shared" si="55"/>
        <v>0</v>
      </c>
      <c r="H598" s="375">
        <f>'BVC  MS'!H597+'BVC DSP'!H598</f>
        <v>0</v>
      </c>
      <c r="I598" s="375">
        <f>'BVC  MS'!I597+'BVC DSP'!I598</f>
        <v>0</v>
      </c>
      <c r="J598" s="375">
        <f>'BVC  MS'!J597+'BVC DSP'!J598</f>
        <v>0</v>
      </c>
      <c r="K598" s="375">
        <f>'BVC  MS'!K597+'BVC DSP'!K598</f>
        <v>0</v>
      </c>
      <c r="L598" s="21"/>
      <c r="N598" s="217"/>
      <c r="O598" s="123"/>
      <c r="P598" s="123"/>
      <c r="Q598" s="232"/>
      <c r="R598" s="232"/>
      <c r="S598" s="219"/>
      <c r="T598" s="130"/>
      <c r="U598" s="123"/>
    </row>
    <row r="599" spans="1:21" ht="12.75">
      <c r="A599" s="367">
        <f t="shared" si="54"/>
        <v>577</v>
      </c>
      <c r="B599" s="368"/>
      <c r="C599" s="368">
        <v>30</v>
      </c>
      <c r="D599" s="369"/>
      <c r="E599" s="85" t="s">
        <v>120</v>
      </c>
      <c r="F599" s="49">
        <f>+F600+F601+F602+F603+F604</f>
        <v>0</v>
      </c>
      <c r="G599" s="50">
        <f t="shared" si="55"/>
        <v>0</v>
      </c>
      <c r="H599" s="166">
        <f>+H600+H601+H602+H603+H604</f>
        <v>0</v>
      </c>
      <c r="I599" s="166">
        <f>+I600+I601+I602+I603+I604</f>
        <v>0</v>
      </c>
      <c r="J599" s="166">
        <f>+J600+J601+J602+J603+J604</f>
        <v>0</v>
      </c>
      <c r="K599" s="166">
        <f>+K600+K601+K602+K603+K604</f>
        <v>0</v>
      </c>
      <c r="L599" s="21"/>
      <c r="N599" s="217"/>
      <c r="O599" s="123"/>
      <c r="P599" s="123"/>
      <c r="Q599" s="232"/>
      <c r="R599" s="232"/>
      <c r="S599" s="219"/>
      <c r="T599" s="130"/>
      <c r="U599" s="123"/>
    </row>
    <row r="600" spans="1:21" ht="12.75">
      <c r="A600" s="367">
        <f t="shared" si="54"/>
        <v>578</v>
      </c>
      <c r="B600" s="368"/>
      <c r="C600" s="368"/>
      <c r="D600" s="379" t="s">
        <v>47</v>
      </c>
      <c r="E600" s="66" t="s">
        <v>220</v>
      </c>
      <c r="F600" s="375"/>
      <c r="G600" s="79">
        <f t="shared" si="55"/>
        <v>0</v>
      </c>
      <c r="H600" s="375">
        <f>'BVC  MS'!H599+'BVC DSP'!H600</f>
        <v>0</v>
      </c>
      <c r="I600" s="375">
        <f>'BVC  MS'!I599+'BVC DSP'!I600</f>
        <v>0</v>
      </c>
      <c r="J600" s="375">
        <f>'BVC  MS'!J599+'BVC DSP'!J600</f>
        <v>0</v>
      </c>
      <c r="K600" s="375">
        <f>'BVC  MS'!K599+'BVC DSP'!K600</f>
        <v>0</v>
      </c>
      <c r="L600" s="21"/>
      <c r="N600" s="217"/>
      <c r="O600" s="123"/>
      <c r="P600" s="123"/>
      <c r="Q600" s="232"/>
      <c r="R600" s="232"/>
      <c r="S600" s="219"/>
      <c r="T600" s="221"/>
      <c r="U600" s="123"/>
    </row>
    <row r="601" spans="1:21" ht="12.75">
      <c r="A601" s="367">
        <f t="shared" si="54"/>
        <v>579</v>
      </c>
      <c r="B601" s="368"/>
      <c r="C601" s="368"/>
      <c r="D601" s="379" t="s">
        <v>84</v>
      </c>
      <c r="E601" s="66" t="s">
        <v>221</v>
      </c>
      <c r="F601" s="375"/>
      <c r="G601" s="79">
        <f t="shared" si="55"/>
        <v>0</v>
      </c>
      <c r="H601" s="375">
        <f>'BVC  MS'!H600+'BVC DSP'!H601</f>
        <v>0</v>
      </c>
      <c r="I601" s="375">
        <f>'BVC  MS'!I600+'BVC DSP'!I601</f>
        <v>0</v>
      </c>
      <c r="J601" s="375">
        <f>'BVC  MS'!J600+'BVC DSP'!J601</f>
        <v>0</v>
      </c>
      <c r="K601" s="375">
        <f>'BVC  MS'!K600+'BVC DSP'!K601</f>
        <v>0</v>
      </c>
      <c r="L601" s="21"/>
      <c r="N601" s="217"/>
      <c r="O601" s="123"/>
      <c r="P601" s="123"/>
      <c r="Q601" s="232"/>
      <c r="R601" s="232"/>
      <c r="S601" s="219"/>
      <c r="T601" s="221"/>
      <c r="U601" s="123"/>
    </row>
    <row r="602" spans="1:21" ht="12.75">
      <c r="A602" s="367">
        <f t="shared" si="54"/>
        <v>580</v>
      </c>
      <c r="B602" s="368"/>
      <c r="C602" s="368"/>
      <c r="D602" s="379" t="s">
        <v>108</v>
      </c>
      <c r="E602" s="66" t="s">
        <v>222</v>
      </c>
      <c r="F602" s="375"/>
      <c r="G602" s="79">
        <f t="shared" si="55"/>
        <v>0</v>
      </c>
      <c r="H602" s="375">
        <f>'BVC  MS'!H601+'BVC DSP'!H602</f>
        <v>0</v>
      </c>
      <c r="I602" s="375">
        <f>'BVC  MS'!I601+'BVC DSP'!I602</f>
        <v>0</v>
      </c>
      <c r="J602" s="375">
        <f>'BVC  MS'!J601+'BVC DSP'!J602</f>
        <v>0</v>
      </c>
      <c r="K602" s="375">
        <f>'BVC  MS'!K601+'BVC DSP'!K602</f>
        <v>0</v>
      </c>
      <c r="L602" s="21"/>
      <c r="N602" s="217"/>
      <c r="O602" s="123"/>
      <c r="P602" s="123"/>
      <c r="Q602" s="232"/>
      <c r="R602" s="232"/>
      <c r="S602" s="123"/>
      <c r="T602" s="123"/>
      <c r="U602" s="123"/>
    </row>
    <row r="603" spans="1:18" ht="12.75">
      <c r="A603" s="367">
        <f t="shared" si="54"/>
        <v>581</v>
      </c>
      <c r="B603" s="368"/>
      <c r="C603" s="368"/>
      <c r="D603" s="379" t="s">
        <v>160</v>
      </c>
      <c r="E603" s="66" t="s">
        <v>223</v>
      </c>
      <c r="F603" s="375"/>
      <c r="G603" s="79">
        <f t="shared" si="55"/>
        <v>0</v>
      </c>
      <c r="H603" s="375">
        <f>'BVC  MS'!H602+'BVC DSP'!H603</f>
        <v>0</v>
      </c>
      <c r="I603" s="375">
        <f>'BVC  MS'!I602+'BVC DSP'!I603</f>
        <v>0</v>
      </c>
      <c r="J603" s="375">
        <f>'BVC  MS'!J602+'BVC DSP'!J603</f>
        <v>0</v>
      </c>
      <c r="K603" s="375">
        <f>'BVC  MS'!K602+'BVC DSP'!K603</f>
        <v>0</v>
      </c>
      <c r="L603" s="21"/>
      <c r="N603" s="167"/>
      <c r="Q603" s="197"/>
      <c r="R603" s="197"/>
    </row>
    <row r="604" spans="1:18" ht="12.75">
      <c r="A604" s="367">
        <f t="shared" si="54"/>
        <v>582</v>
      </c>
      <c r="B604" s="368"/>
      <c r="C604" s="368"/>
      <c r="D604" s="369">
        <v>30</v>
      </c>
      <c r="E604" s="66" t="s">
        <v>224</v>
      </c>
      <c r="F604" s="375"/>
      <c r="G604" s="79">
        <f t="shared" si="55"/>
        <v>0</v>
      </c>
      <c r="H604" s="375">
        <f>'BVC  MS'!H603+'BVC DSP'!H604</f>
        <v>0</v>
      </c>
      <c r="I604" s="375">
        <f>'BVC  MS'!I603+'BVC DSP'!I604</f>
        <v>0</v>
      </c>
      <c r="J604" s="375">
        <f>'BVC  MS'!J603+'BVC DSP'!J604</f>
        <v>0</v>
      </c>
      <c r="K604" s="375">
        <f>'BVC  MS'!K603+'BVC DSP'!K604</f>
        <v>0</v>
      </c>
      <c r="L604" s="21"/>
      <c r="N604" s="167"/>
      <c r="Q604" s="197"/>
      <c r="R604" s="197"/>
    </row>
    <row r="605" spans="1:18" ht="12.75">
      <c r="A605" s="367">
        <f>A604+1</f>
        <v>583</v>
      </c>
      <c r="B605" s="395">
        <v>30</v>
      </c>
      <c r="C605" s="395"/>
      <c r="D605" s="396"/>
      <c r="E605" s="418" t="s">
        <v>225</v>
      </c>
      <c r="F605" s="49">
        <f aca="true" t="shared" si="57" ref="F605:K606">+F606</f>
        <v>0</v>
      </c>
      <c r="G605" s="79">
        <f t="shared" si="55"/>
        <v>0</v>
      </c>
      <c r="H605" s="49">
        <f>+H606</f>
        <v>0</v>
      </c>
      <c r="I605" s="49">
        <f>+I606</f>
        <v>0</v>
      </c>
      <c r="J605" s="49">
        <f t="shared" si="57"/>
        <v>0</v>
      </c>
      <c r="K605" s="124">
        <f t="shared" si="57"/>
        <v>0</v>
      </c>
      <c r="L605" s="21"/>
      <c r="N605" s="167"/>
      <c r="Q605" s="197"/>
      <c r="R605" s="197"/>
    </row>
    <row r="606" spans="1:18" ht="12.75">
      <c r="A606" s="367">
        <f>A605+1</f>
        <v>584</v>
      </c>
      <c r="B606" s="395"/>
      <c r="C606" s="401" t="s">
        <v>84</v>
      </c>
      <c r="D606" s="396"/>
      <c r="E606" s="418" t="s">
        <v>226</v>
      </c>
      <c r="F606" s="49">
        <f t="shared" si="57"/>
        <v>0</v>
      </c>
      <c r="G606" s="79">
        <f t="shared" si="55"/>
        <v>0</v>
      </c>
      <c r="H606" s="49">
        <f t="shared" si="57"/>
        <v>0</v>
      </c>
      <c r="I606" s="49">
        <f t="shared" si="57"/>
        <v>0</v>
      </c>
      <c r="J606" s="49">
        <f t="shared" si="57"/>
        <v>0</v>
      </c>
      <c r="K606" s="124">
        <f t="shared" si="57"/>
        <v>0</v>
      </c>
      <c r="L606" s="21"/>
      <c r="N606" s="167"/>
      <c r="Q606" s="197"/>
      <c r="R606" s="197"/>
    </row>
    <row r="607" spans="1:18" ht="12.75">
      <c r="A607" s="367">
        <f>A606+1</f>
        <v>585</v>
      </c>
      <c r="B607" s="395"/>
      <c r="C607" s="401"/>
      <c r="D607" s="402" t="s">
        <v>41</v>
      </c>
      <c r="E607" s="419" t="s">
        <v>227</v>
      </c>
      <c r="F607" s="375"/>
      <c r="G607" s="79">
        <f t="shared" si="55"/>
        <v>0</v>
      </c>
      <c r="H607" s="375">
        <f>'BVC  MS'!H606+'BVC DSP'!H607</f>
        <v>0</v>
      </c>
      <c r="I607" s="375">
        <f>'BVC  MS'!I606+'BVC DSP'!I607</f>
        <v>0</v>
      </c>
      <c r="J607" s="375">
        <f>'BVC  MS'!J606+'BVC DSP'!J607</f>
        <v>0</v>
      </c>
      <c r="K607" s="375">
        <f>'BVC  MS'!K606+'BVC DSP'!K607</f>
        <v>0</v>
      </c>
      <c r="L607" s="21"/>
      <c r="N607" s="167"/>
      <c r="Q607" s="197"/>
      <c r="R607" s="197"/>
    </row>
    <row r="608" spans="1:18" ht="12.75">
      <c r="A608" s="367">
        <f>A607+1</f>
        <v>586</v>
      </c>
      <c r="B608" s="395">
        <v>57</v>
      </c>
      <c r="C608" s="401"/>
      <c r="D608" s="402"/>
      <c r="E608" s="418" t="s">
        <v>230</v>
      </c>
      <c r="F608" s="109">
        <f aca="true" t="shared" si="58" ref="F608:K609">F609</f>
        <v>0</v>
      </c>
      <c r="G608" s="109">
        <f t="shared" si="55"/>
        <v>0</v>
      </c>
      <c r="H608" s="109">
        <f t="shared" si="58"/>
        <v>0</v>
      </c>
      <c r="I608" s="109">
        <f t="shared" si="58"/>
        <v>0</v>
      </c>
      <c r="J608" s="109">
        <f t="shared" si="58"/>
        <v>0</v>
      </c>
      <c r="K608" s="109">
        <f t="shared" si="58"/>
        <v>0</v>
      </c>
      <c r="L608" s="21"/>
      <c r="N608" s="167"/>
      <c r="Q608" s="197"/>
      <c r="R608" s="197"/>
    </row>
    <row r="609" spans="1:14" ht="12.75">
      <c r="A609" s="367">
        <f>A608+1</f>
        <v>587</v>
      </c>
      <c r="B609" s="395"/>
      <c r="C609" s="401" t="s">
        <v>47</v>
      </c>
      <c r="D609" s="402"/>
      <c r="E609" s="418" t="s">
        <v>231</v>
      </c>
      <c r="F609" s="109">
        <f t="shared" si="58"/>
        <v>0</v>
      </c>
      <c r="G609" s="109">
        <f aca="true" t="shared" si="59" ref="G609:G627">H609+I609+J609+K609</f>
        <v>0</v>
      </c>
      <c r="H609" s="109">
        <f t="shared" si="58"/>
        <v>0</v>
      </c>
      <c r="I609" s="109">
        <f t="shared" si="58"/>
        <v>0</v>
      </c>
      <c r="J609" s="109">
        <f t="shared" si="58"/>
        <v>0</v>
      </c>
      <c r="K609" s="109">
        <f t="shared" si="58"/>
        <v>0</v>
      </c>
      <c r="L609" s="21"/>
      <c r="N609" s="167"/>
    </row>
    <row r="610" spans="1:14" ht="12.75">
      <c r="A610" s="367">
        <f aca="true" t="shared" si="60" ref="A610:A643">A609+1</f>
        <v>588</v>
      </c>
      <c r="B610" s="395"/>
      <c r="C610" s="401" t="s">
        <v>80</v>
      </c>
      <c r="D610" s="402"/>
      <c r="E610" s="419" t="s">
        <v>232</v>
      </c>
      <c r="F610" s="109">
        <f>F611+F612+F613+F614</f>
        <v>0</v>
      </c>
      <c r="G610" s="109">
        <f t="shared" si="59"/>
        <v>0</v>
      </c>
      <c r="H610" s="109">
        <f>H611+H612+H613+H614</f>
        <v>0</v>
      </c>
      <c r="I610" s="109">
        <f>I611+I612+I613+I614</f>
        <v>0</v>
      </c>
      <c r="J610" s="109">
        <f>J611+J612+J613+J614</f>
        <v>0</v>
      </c>
      <c r="K610" s="420">
        <f>K611+K612+K613+K614</f>
        <v>0</v>
      </c>
      <c r="L610" s="21"/>
      <c r="N610" s="167"/>
    </row>
    <row r="611" spans="1:14" ht="12.75">
      <c r="A611" s="367">
        <f t="shared" si="60"/>
        <v>589</v>
      </c>
      <c r="B611" s="395"/>
      <c r="C611" s="401"/>
      <c r="D611" s="402" t="s">
        <v>47</v>
      </c>
      <c r="E611" s="419" t="s">
        <v>233</v>
      </c>
      <c r="F611" s="375"/>
      <c r="G611" s="109">
        <f t="shared" si="59"/>
        <v>0</v>
      </c>
      <c r="H611" s="375">
        <f>'BVC  MS'!H610+'BVC DSP'!H611</f>
        <v>0</v>
      </c>
      <c r="I611" s="375">
        <f>'BVC  MS'!I610+'BVC DSP'!I611</f>
        <v>0</v>
      </c>
      <c r="J611" s="375">
        <f>'BVC  MS'!J610+'BVC DSP'!J611</f>
        <v>0</v>
      </c>
      <c r="K611" s="375">
        <f>'BVC  MS'!K610+'BVC DSP'!K611</f>
        <v>0</v>
      </c>
      <c r="L611" s="21"/>
      <c r="N611" s="167"/>
    </row>
    <row r="612" spans="1:14" ht="12.75">
      <c r="A612" s="367">
        <f t="shared" si="60"/>
        <v>590</v>
      </c>
      <c r="B612" s="395"/>
      <c r="C612" s="401"/>
      <c r="D612" s="402" t="s">
        <v>80</v>
      </c>
      <c r="E612" s="419" t="s">
        <v>234</v>
      </c>
      <c r="F612" s="375"/>
      <c r="G612" s="109">
        <f t="shared" si="59"/>
        <v>0</v>
      </c>
      <c r="H612" s="375">
        <f>'BVC  MS'!H611+'BVC DSP'!H612</f>
        <v>0</v>
      </c>
      <c r="I612" s="375">
        <f>'BVC  MS'!I611+'BVC DSP'!I612</f>
        <v>0</v>
      </c>
      <c r="J612" s="375">
        <f>'BVC  MS'!J611+'BVC DSP'!J612</f>
        <v>0</v>
      </c>
      <c r="K612" s="375">
        <f>'BVC  MS'!K611+'BVC DSP'!K612</f>
        <v>0</v>
      </c>
      <c r="L612" s="21"/>
      <c r="N612" s="167"/>
    </row>
    <row r="613" spans="1:14" ht="12.75">
      <c r="A613" s="367">
        <f t="shared" si="60"/>
        <v>591</v>
      </c>
      <c r="B613" s="395"/>
      <c r="C613" s="401"/>
      <c r="D613" s="402" t="s">
        <v>84</v>
      </c>
      <c r="E613" s="419" t="s">
        <v>235</v>
      </c>
      <c r="F613" s="375"/>
      <c r="G613" s="109">
        <f t="shared" si="59"/>
        <v>0</v>
      </c>
      <c r="H613" s="375">
        <f>'BVC  MS'!H612+'BVC DSP'!H613</f>
        <v>0</v>
      </c>
      <c r="I613" s="375">
        <f>'BVC  MS'!I612+'BVC DSP'!I613</f>
        <v>0</v>
      </c>
      <c r="J613" s="375">
        <f>'BVC  MS'!J612+'BVC DSP'!J613</f>
        <v>0</v>
      </c>
      <c r="K613" s="375">
        <f>'BVC  MS'!K612+'BVC DSP'!K613</f>
        <v>0</v>
      </c>
      <c r="L613" s="21"/>
      <c r="N613" s="167"/>
    </row>
    <row r="614" spans="1:14" ht="12.75">
      <c r="A614" s="367">
        <f t="shared" si="60"/>
        <v>592</v>
      </c>
      <c r="B614" s="395"/>
      <c r="C614" s="401"/>
      <c r="D614" s="402" t="s">
        <v>108</v>
      </c>
      <c r="E614" s="419" t="s">
        <v>236</v>
      </c>
      <c r="F614" s="375"/>
      <c r="G614" s="109">
        <f t="shared" si="59"/>
        <v>0</v>
      </c>
      <c r="H614" s="375">
        <f>'BVC  MS'!H613+'BVC DSP'!H614</f>
        <v>0</v>
      </c>
      <c r="I614" s="375">
        <f>'BVC  MS'!I613+'BVC DSP'!I614</f>
        <v>0</v>
      </c>
      <c r="J614" s="375">
        <f>'BVC  MS'!J613+'BVC DSP'!J614</f>
        <v>0</v>
      </c>
      <c r="K614" s="375">
        <f>'BVC  MS'!K613+'BVC DSP'!K614</f>
        <v>0</v>
      </c>
      <c r="L614" s="21"/>
      <c r="N614" s="167"/>
    </row>
    <row r="615" spans="1:14" ht="12.75">
      <c r="A615" s="367">
        <f t="shared" si="60"/>
        <v>593</v>
      </c>
      <c r="B615" s="368">
        <v>70</v>
      </c>
      <c r="C615" s="368"/>
      <c r="D615" s="369"/>
      <c r="E615" s="85" t="s">
        <v>288</v>
      </c>
      <c r="F615" s="49">
        <f>+F616</f>
        <v>0</v>
      </c>
      <c r="G615" s="50">
        <f t="shared" si="59"/>
        <v>22261</v>
      </c>
      <c r="H615" s="49">
        <f>+H616</f>
        <v>7092</v>
      </c>
      <c r="I615" s="49">
        <f>+I616</f>
        <v>11263</v>
      </c>
      <c r="J615" s="49">
        <f>+J616</f>
        <v>2610</v>
      </c>
      <c r="K615" s="124">
        <f>+K616</f>
        <v>1296</v>
      </c>
      <c r="L615" s="21"/>
      <c r="N615" s="167"/>
    </row>
    <row r="616" spans="1:14" ht="12.75">
      <c r="A616" s="367">
        <f t="shared" si="60"/>
        <v>594</v>
      </c>
      <c r="B616" s="368">
        <v>71</v>
      </c>
      <c r="C616" s="368"/>
      <c r="D616" s="369"/>
      <c r="E616" s="85" t="s">
        <v>238</v>
      </c>
      <c r="F616" s="49">
        <f>+F617+F622</f>
        <v>0</v>
      </c>
      <c r="G616" s="50">
        <f t="shared" si="59"/>
        <v>22261</v>
      </c>
      <c r="H616" s="49">
        <f>+H617+H622</f>
        <v>7092</v>
      </c>
      <c r="I616" s="49">
        <f>+I617+I622</f>
        <v>11263</v>
      </c>
      <c r="J616" s="49">
        <f>+J617+J622</f>
        <v>2610</v>
      </c>
      <c r="K616" s="124">
        <f>+K617+K622</f>
        <v>1296</v>
      </c>
      <c r="L616" s="21"/>
      <c r="N616" s="167"/>
    </row>
    <row r="617" spans="1:14" ht="12.75">
      <c r="A617" s="367">
        <f t="shared" si="60"/>
        <v>595</v>
      </c>
      <c r="B617" s="368"/>
      <c r="C617" s="377" t="s">
        <v>47</v>
      </c>
      <c r="D617" s="369"/>
      <c r="E617" s="85" t="s">
        <v>77</v>
      </c>
      <c r="F617" s="49">
        <f>+F618+F619+F620+F621</f>
        <v>0</v>
      </c>
      <c r="G617" s="50">
        <f t="shared" si="59"/>
        <v>21309</v>
      </c>
      <c r="H617" s="49">
        <f>+H618+H619+H620+H621</f>
        <v>6140</v>
      </c>
      <c r="I617" s="49">
        <f>+I618+I619+I620+I621</f>
        <v>11263</v>
      </c>
      <c r="J617" s="49">
        <f>+J618+J619+J620+J621</f>
        <v>2610</v>
      </c>
      <c r="K617" s="124">
        <f>+K618+K619+K620+K621</f>
        <v>1296</v>
      </c>
      <c r="L617" s="21"/>
      <c r="N617" s="167"/>
    </row>
    <row r="618" spans="1:14" ht="12.75">
      <c r="A618" s="367">
        <f t="shared" si="60"/>
        <v>596</v>
      </c>
      <c r="B618" s="368"/>
      <c r="C618" s="368"/>
      <c r="D618" s="379" t="s">
        <v>47</v>
      </c>
      <c r="E618" s="66" t="s">
        <v>239</v>
      </c>
      <c r="F618" s="375"/>
      <c r="G618" s="79">
        <f t="shared" si="59"/>
        <v>0</v>
      </c>
      <c r="H618" s="375">
        <f>'BVC  MS'!H617+'BVC DSP'!H618</f>
        <v>0</v>
      </c>
      <c r="I618" s="375">
        <f>'BVC  MS'!I617+'BVC DSP'!I618</f>
        <v>0</v>
      </c>
      <c r="J618" s="375">
        <f>'BVC  MS'!J617+'BVC DSP'!J618</f>
        <v>0</v>
      </c>
      <c r="K618" s="375">
        <f>'BVC  MS'!K617+'BVC DSP'!K618</f>
        <v>0</v>
      </c>
      <c r="L618" s="21"/>
      <c r="N618" s="167"/>
    </row>
    <row r="619" spans="1:14" ht="12.75">
      <c r="A619" s="367">
        <f t="shared" si="60"/>
        <v>597</v>
      </c>
      <c r="B619" s="368"/>
      <c r="C619" s="368"/>
      <c r="D619" s="379" t="s">
        <v>80</v>
      </c>
      <c r="E619" s="66" t="s">
        <v>81</v>
      </c>
      <c r="F619" s="375"/>
      <c r="G619" s="79">
        <f t="shared" si="59"/>
        <v>20923</v>
      </c>
      <c r="H619" s="375">
        <f>'BVC  MS'!H618+'BVC DSP'!H619</f>
        <v>5754</v>
      </c>
      <c r="I619" s="375">
        <f>'BVC  MS'!I618+'BVC DSP'!I619</f>
        <v>11263</v>
      </c>
      <c r="J619" s="375">
        <f>'BVC  MS'!J618+'BVC DSP'!J619</f>
        <v>2610</v>
      </c>
      <c r="K619" s="375">
        <f>'BVC  MS'!K618+'BVC DSP'!K619</f>
        <v>1296</v>
      </c>
      <c r="L619" s="21"/>
      <c r="N619" s="167"/>
    </row>
    <row r="620" spans="1:14" ht="12.75">
      <c r="A620" s="367">
        <f t="shared" si="60"/>
        <v>598</v>
      </c>
      <c r="B620" s="368"/>
      <c r="C620" s="368"/>
      <c r="D620" s="379" t="s">
        <v>84</v>
      </c>
      <c r="E620" s="66" t="s">
        <v>245</v>
      </c>
      <c r="F620" s="375"/>
      <c r="G620" s="79">
        <f t="shared" si="59"/>
        <v>386</v>
      </c>
      <c r="H620" s="375">
        <f>'BVC  MS'!H619+'BVC DSP'!H620</f>
        <v>386</v>
      </c>
      <c r="I620" s="375">
        <f>'BVC  MS'!I619+'BVC DSP'!I620</f>
        <v>0</v>
      </c>
      <c r="J620" s="375">
        <f>'BVC  MS'!J619+'BVC DSP'!J620</f>
        <v>0</v>
      </c>
      <c r="K620" s="375">
        <f>'BVC  MS'!K619+'BVC DSP'!K620</f>
        <v>0</v>
      </c>
      <c r="L620" s="21"/>
      <c r="N620" s="167"/>
    </row>
    <row r="621" spans="1:14" ht="12.75">
      <c r="A621" s="367">
        <f t="shared" si="60"/>
        <v>599</v>
      </c>
      <c r="B621" s="368"/>
      <c r="C621" s="368"/>
      <c r="D621" s="369">
        <v>30</v>
      </c>
      <c r="E621" s="66" t="s">
        <v>275</v>
      </c>
      <c r="F621" s="375"/>
      <c r="G621" s="79">
        <f t="shared" si="59"/>
        <v>0</v>
      </c>
      <c r="H621" s="375">
        <f>'BVC  MS'!H620+'BVC DSP'!H621</f>
        <v>0</v>
      </c>
      <c r="I621" s="375">
        <f>'BVC  MS'!I620+'BVC DSP'!I621</f>
        <v>0</v>
      </c>
      <c r="J621" s="375">
        <f>'BVC  MS'!J620+'BVC DSP'!J621</f>
        <v>0</v>
      </c>
      <c r="K621" s="375">
        <f>'BVC  MS'!K620+'BVC DSP'!K621</f>
        <v>0</v>
      </c>
      <c r="L621" s="21"/>
      <c r="N621" s="167"/>
    </row>
    <row r="622" spans="1:14" ht="12.75">
      <c r="A622" s="367">
        <f t="shared" si="60"/>
        <v>600</v>
      </c>
      <c r="B622" s="368"/>
      <c r="C622" s="377" t="s">
        <v>84</v>
      </c>
      <c r="D622" s="369"/>
      <c r="E622" s="59" t="s">
        <v>243</v>
      </c>
      <c r="F622" s="375"/>
      <c r="G622" s="79">
        <f t="shared" si="59"/>
        <v>952</v>
      </c>
      <c r="H622" s="375">
        <f>'BVC  MS'!H621+'BVC DSP'!H622</f>
        <v>952</v>
      </c>
      <c r="I622" s="375">
        <f>'BVC  MS'!I621+'BVC DSP'!I622</f>
        <v>0</v>
      </c>
      <c r="J622" s="375">
        <f>'BVC  MS'!J621+'BVC DSP'!J622</f>
        <v>0</v>
      </c>
      <c r="K622" s="375">
        <f>'BVC  MS'!K621+'BVC DSP'!K622</f>
        <v>0</v>
      </c>
      <c r="L622" s="21"/>
      <c r="N622" s="167"/>
    </row>
    <row r="623" spans="1:14" ht="12.75">
      <c r="A623" s="367">
        <f t="shared" si="60"/>
        <v>601</v>
      </c>
      <c r="B623" s="368"/>
      <c r="C623" s="368"/>
      <c r="D623" s="369"/>
      <c r="E623" s="85" t="s">
        <v>244</v>
      </c>
      <c r="F623" s="49">
        <f>+F624+F625+F626</f>
        <v>0</v>
      </c>
      <c r="G623" s="50">
        <f t="shared" si="59"/>
        <v>0</v>
      </c>
      <c r="H623" s="49">
        <f>+H624+H625+H626</f>
        <v>0</v>
      </c>
      <c r="I623" s="49">
        <f>+I624+I625+I626</f>
        <v>0</v>
      </c>
      <c r="J623" s="49">
        <f>+J624+J625+J626</f>
        <v>0</v>
      </c>
      <c r="K623" s="124">
        <f>+K624+K625+K626</f>
        <v>0</v>
      </c>
      <c r="L623" s="21"/>
      <c r="N623" s="167"/>
    </row>
    <row r="624" spans="1:14" ht="12.75">
      <c r="A624" s="367">
        <f t="shared" si="60"/>
        <v>602</v>
      </c>
      <c r="B624" s="368">
        <v>71</v>
      </c>
      <c r="C624" s="377" t="s">
        <v>47</v>
      </c>
      <c r="D624" s="379" t="s">
        <v>80</v>
      </c>
      <c r="E624" s="66" t="s">
        <v>81</v>
      </c>
      <c r="F624" s="375"/>
      <c r="G624" s="79">
        <f t="shared" si="59"/>
        <v>0</v>
      </c>
      <c r="H624" s="375">
        <f>'BVC  MS'!H623+'BVC DSP'!H624</f>
        <v>0</v>
      </c>
      <c r="I624" s="375">
        <f>'BVC  MS'!I623+'BVC DSP'!I624</f>
        <v>0</v>
      </c>
      <c r="J624" s="375">
        <f>'BVC  MS'!J623+'BVC DSP'!J624</f>
        <v>0</v>
      </c>
      <c r="K624" s="375">
        <f>'BVC  MS'!K623+'BVC DSP'!K624</f>
        <v>0</v>
      </c>
      <c r="L624" s="21"/>
      <c r="N624" s="167"/>
    </row>
    <row r="625" spans="1:14" ht="12.75">
      <c r="A625" s="367">
        <f t="shared" si="60"/>
        <v>603</v>
      </c>
      <c r="B625" s="368"/>
      <c r="C625" s="368"/>
      <c r="D625" s="379" t="s">
        <v>84</v>
      </c>
      <c r="E625" s="66" t="s">
        <v>245</v>
      </c>
      <c r="F625" s="375"/>
      <c r="G625" s="79">
        <f t="shared" si="59"/>
        <v>0</v>
      </c>
      <c r="H625" s="375">
        <f>'BVC  MS'!H624+'BVC DSP'!H625</f>
        <v>0</v>
      </c>
      <c r="I625" s="375">
        <f>'BVC  MS'!I624+'BVC DSP'!I625</f>
        <v>0</v>
      </c>
      <c r="J625" s="375">
        <f>'BVC  MS'!J624+'BVC DSP'!J625</f>
        <v>0</v>
      </c>
      <c r="K625" s="375">
        <f>'BVC  MS'!K624+'BVC DSP'!K625</f>
        <v>0</v>
      </c>
      <c r="L625" s="21"/>
      <c r="N625" s="167"/>
    </row>
    <row r="626" spans="1:14" ht="12.75">
      <c r="A626" s="367">
        <f t="shared" si="60"/>
        <v>604</v>
      </c>
      <c r="B626" s="368"/>
      <c r="C626" s="368"/>
      <c r="D626" s="369">
        <v>30</v>
      </c>
      <c r="E626" s="97" t="s">
        <v>242</v>
      </c>
      <c r="F626" s="375"/>
      <c r="G626" s="79">
        <f t="shared" si="59"/>
        <v>0</v>
      </c>
      <c r="H626" s="375">
        <f>'BVC  MS'!H625+'BVC DSP'!H626</f>
        <v>0</v>
      </c>
      <c r="I626" s="375">
        <f>'BVC  MS'!I625+'BVC DSP'!I626</f>
        <v>0</v>
      </c>
      <c r="J626" s="375">
        <f>'BVC  MS'!J625+'BVC DSP'!J626</f>
        <v>0</v>
      </c>
      <c r="K626" s="375">
        <f>'BVC  MS'!K625+'BVC DSP'!K626</f>
        <v>0</v>
      </c>
      <c r="L626" s="21"/>
      <c r="N626" s="167"/>
    </row>
    <row r="627" spans="1:14" ht="12.75">
      <c r="A627" s="367">
        <f t="shared" si="60"/>
        <v>605</v>
      </c>
      <c r="B627" s="368"/>
      <c r="C627" s="368"/>
      <c r="D627" s="369"/>
      <c r="E627" s="66" t="s">
        <v>246</v>
      </c>
      <c r="F627" s="79">
        <f>F629</f>
        <v>0</v>
      </c>
      <c r="G627" s="50">
        <f t="shared" si="59"/>
        <v>25785</v>
      </c>
      <c r="H627" s="79">
        <f>H629</f>
        <v>8212</v>
      </c>
      <c r="I627" s="79">
        <f>I629</f>
        <v>11839</v>
      </c>
      <c r="J627" s="79">
        <f>J629</f>
        <v>3572</v>
      </c>
      <c r="K627" s="79">
        <f>K629</f>
        <v>2162</v>
      </c>
      <c r="L627" s="21"/>
      <c r="N627" s="167"/>
    </row>
    <row r="628" spans="1:14" ht="12.75">
      <c r="A628" s="367"/>
      <c r="B628" s="368" t="s">
        <v>18</v>
      </c>
      <c r="C628" s="368" t="s">
        <v>247</v>
      </c>
      <c r="D628" s="86" t="s">
        <v>20</v>
      </c>
      <c r="E628" s="66"/>
      <c r="F628" s="79"/>
      <c r="G628" s="79"/>
      <c r="H628" s="79"/>
      <c r="I628" s="79"/>
      <c r="J628" s="79"/>
      <c r="K628" s="393"/>
      <c r="L628" s="21"/>
      <c r="N628" s="167"/>
    </row>
    <row r="629" spans="1:14" ht="12.75">
      <c r="A629" s="367">
        <f>A627+1</f>
        <v>606</v>
      </c>
      <c r="B629" s="368"/>
      <c r="C629" s="368"/>
      <c r="D629" s="369"/>
      <c r="E629" s="85" t="s">
        <v>249</v>
      </c>
      <c r="F629" s="49">
        <f>+F630+F633+F634</f>
        <v>0</v>
      </c>
      <c r="G629" s="50">
        <f aca="true" t="shared" si="61" ref="G629:G641">H629+I629+J629+K629</f>
        <v>25785</v>
      </c>
      <c r="H629" s="49">
        <f>+H630+H633+H634+H638</f>
        <v>8212</v>
      </c>
      <c r="I629" s="49">
        <f>+I630+I633+I634+I638</f>
        <v>11839</v>
      </c>
      <c r="J629" s="49">
        <f>+J630+J633+J634+J638</f>
        <v>3572</v>
      </c>
      <c r="K629" s="49">
        <f>+K630+K633+K634+K638</f>
        <v>2162</v>
      </c>
      <c r="L629" s="21"/>
      <c r="N629" s="167"/>
    </row>
    <row r="630" spans="1:14" ht="12.75">
      <c r="A630" s="367">
        <f t="shared" si="60"/>
        <v>607</v>
      </c>
      <c r="B630" s="368"/>
      <c r="C630" s="377" t="s">
        <v>108</v>
      </c>
      <c r="D630" s="369"/>
      <c r="E630" s="59" t="s">
        <v>250</v>
      </c>
      <c r="F630" s="49">
        <f>+F631+F632</f>
        <v>0</v>
      </c>
      <c r="G630" s="50">
        <f t="shared" si="61"/>
        <v>0</v>
      </c>
      <c r="H630" s="49">
        <f>+H631+H632</f>
        <v>0</v>
      </c>
      <c r="I630" s="49">
        <f>+I631+I632</f>
        <v>0</v>
      </c>
      <c r="J630" s="49">
        <f>+J631+J632</f>
        <v>0</v>
      </c>
      <c r="K630" s="124">
        <f>+K631+K632</f>
        <v>0</v>
      </c>
      <c r="L630" s="21"/>
      <c r="N630" s="167"/>
    </row>
    <row r="631" spans="1:14" ht="12.75">
      <c r="A631" s="367">
        <f t="shared" si="60"/>
        <v>608</v>
      </c>
      <c r="B631" s="368"/>
      <c r="C631" s="368"/>
      <c r="D631" s="379" t="s">
        <v>80</v>
      </c>
      <c r="E631" s="66" t="s">
        <v>251</v>
      </c>
      <c r="F631" s="375"/>
      <c r="G631" s="79">
        <f t="shared" si="61"/>
        <v>0</v>
      </c>
      <c r="H631" s="375">
        <f>'BVC  MS'!H630+'BVC DSP'!H631</f>
        <v>0</v>
      </c>
      <c r="I631" s="375">
        <f>'BVC  MS'!I630+'BVC DSP'!I631</f>
        <v>0</v>
      </c>
      <c r="J631" s="375">
        <f>'BVC  MS'!J630+'BVC DSP'!J631</f>
        <v>0</v>
      </c>
      <c r="K631" s="375">
        <f>'BVC  MS'!K630+'BVC DSP'!K631</f>
        <v>0</v>
      </c>
      <c r="L631" s="21"/>
      <c r="N631" s="167"/>
    </row>
    <row r="632" spans="1:14" ht="12.75">
      <c r="A632" s="367">
        <f t="shared" si="60"/>
        <v>609</v>
      </c>
      <c r="B632" s="368"/>
      <c r="C632" s="368"/>
      <c r="D632" s="369">
        <v>50</v>
      </c>
      <c r="E632" s="66" t="s">
        <v>278</v>
      </c>
      <c r="F632" s="375"/>
      <c r="G632" s="79">
        <f t="shared" si="61"/>
        <v>0</v>
      </c>
      <c r="H632" s="375">
        <f>'BVC  MS'!H631+'BVC DSP'!H632</f>
        <v>0</v>
      </c>
      <c r="I632" s="375">
        <f>'BVC  MS'!I631+'BVC DSP'!I632</f>
        <v>0</v>
      </c>
      <c r="J632" s="375">
        <f>'BVC  MS'!J631+'BVC DSP'!J632</f>
        <v>0</v>
      </c>
      <c r="K632" s="375">
        <f>'BVC  MS'!K631+'BVC DSP'!K632</f>
        <v>0</v>
      </c>
      <c r="L632" s="21"/>
      <c r="N632" s="167"/>
    </row>
    <row r="633" spans="1:14" ht="12.75">
      <c r="A633" s="367">
        <f t="shared" si="60"/>
        <v>610</v>
      </c>
      <c r="B633" s="368"/>
      <c r="C633" s="377" t="s">
        <v>41</v>
      </c>
      <c r="D633" s="369"/>
      <c r="E633" s="59" t="s">
        <v>253</v>
      </c>
      <c r="F633" s="375"/>
      <c r="G633" s="79">
        <f t="shared" si="61"/>
        <v>0</v>
      </c>
      <c r="H633" s="375">
        <f>'BVC  MS'!H632+'BVC DSP'!H633</f>
        <v>0</v>
      </c>
      <c r="I633" s="375">
        <f>'BVC  MS'!I632+'BVC DSP'!I633</f>
        <v>0</v>
      </c>
      <c r="J633" s="375">
        <f>'BVC  MS'!J632+'BVC DSP'!J633</f>
        <v>0</v>
      </c>
      <c r="K633" s="375">
        <f>'BVC  MS'!K632+'BVC DSP'!K633</f>
        <v>0</v>
      </c>
      <c r="L633" s="21"/>
      <c r="N633" s="167"/>
    </row>
    <row r="634" spans="1:14" ht="12.75">
      <c r="A634" s="367">
        <f t="shared" si="60"/>
        <v>611</v>
      </c>
      <c r="B634" s="368"/>
      <c r="C634" s="377" t="s">
        <v>154</v>
      </c>
      <c r="D634" s="369"/>
      <c r="E634" s="59" t="s">
        <v>289</v>
      </c>
      <c r="F634" s="49">
        <f>+F635+F636</f>
        <v>0</v>
      </c>
      <c r="G634" s="50">
        <f t="shared" si="61"/>
        <v>25785</v>
      </c>
      <c r="H634" s="49">
        <f>+H635+H636+H637</f>
        <v>8212</v>
      </c>
      <c r="I634" s="49">
        <f>+I635+I636+I637</f>
        <v>11839</v>
      </c>
      <c r="J634" s="49">
        <f>+J635+J636+J637</f>
        <v>3572</v>
      </c>
      <c r="K634" s="49">
        <f>+K635+K636+K637</f>
        <v>2162</v>
      </c>
      <c r="L634" s="21"/>
      <c r="N634" s="167"/>
    </row>
    <row r="635" spans="1:14" ht="12.75">
      <c r="A635" s="367">
        <f t="shared" si="60"/>
        <v>612</v>
      </c>
      <c r="B635" s="368"/>
      <c r="C635" s="368"/>
      <c r="D635" s="379" t="s">
        <v>47</v>
      </c>
      <c r="E635" s="66" t="s">
        <v>255</v>
      </c>
      <c r="F635" s="375"/>
      <c r="G635" s="50">
        <f t="shared" si="61"/>
        <v>25785</v>
      </c>
      <c r="H635" s="375">
        <v>8212</v>
      </c>
      <c r="I635" s="375">
        <v>11839</v>
      </c>
      <c r="J635" s="375">
        <v>3572</v>
      </c>
      <c r="K635" s="375">
        <v>2162</v>
      </c>
      <c r="L635" s="21"/>
      <c r="N635" s="167"/>
    </row>
    <row r="636" spans="1:14" ht="12.75">
      <c r="A636" s="367">
        <f t="shared" si="60"/>
        <v>613</v>
      </c>
      <c r="B636" s="368"/>
      <c r="C636" s="368"/>
      <c r="D636" s="379" t="s">
        <v>154</v>
      </c>
      <c r="E636" s="66" t="s">
        <v>296</v>
      </c>
      <c r="F636" s="375"/>
      <c r="G636" s="79">
        <f t="shared" si="61"/>
        <v>0</v>
      </c>
      <c r="H636" s="375">
        <f>'BVC  MS'!H635+'BVC DSP'!H636</f>
        <v>0</v>
      </c>
      <c r="I636" s="375">
        <f>'BVC  MS'!I635+'BVC DSP'!I636</f>
        <v>0</v>
      </c>
      <c r="J636" s="375">
        <f>'BVC  MS'!J635+'BVC DSP'!J636</f>
        <v>0</v>
      </c>
      <c r="K636" s="375">
        <f>'BVC  MS'!K635+'BVC DSP'!K636</f>
        <v>0</v>
      </c>
      <c r="L636" s="21"/>
      <c r="N636" s="167"/>
    </row>
    <row r="637" spans="1:14" ht="12.75">
      <c r="A637" s="367">
        <f t="shared" si="60"/>
        <v>614</v>
      </c>
      <c r="B637" s="368"/>
      <c r="C637" s="379">
        <v>10</v>
      </c>
      <c r="D637" s="379"/>
      <c r="E637" s="66" t="s">
        <v>290</v>
      </c>
      <c r="F637" s="375"/>
      <c r="G637" s="79">
        <f t="shared" si="61"/>
        <v>0</v>
      </c>
      <c r="H637" s="375">
        <f>'BVC  MS'!H636+'BVC DSP'!H637</f>
        <v>0</v>
      </c>
      <c r="I637" s="375">
        <f>'BVC  MS'!I636+'BVC DSP'!I637</f>
        <v>0</v>
      </c>
      <c r="J637" s="375">
        <f>'BVC  MS'!J636+'BVC DSP'!J637</f>
        <v>0</v>
      </c>
      <c r="K637" s="375">
        <f>'BVC  MS'!K636+'BVC DSP'!K637</f>
        <v>0</v>
      </c>
      <c r="L637" s="21"/>
      <c r="N637" s="167"/>
    </row>
    <row r="638" spans="1:14" ht="12.75">
      <c r="A638" s="367">
        <f t="shared" si="60"/>
        <v>615</v>
      </c>
      <c r="B638" s="368"/>
      <c r="C638" s="421">
        <v>50</v>
      </c>
      <c r="D638" s="421"/>
      <c r="E638" s="59" t="s">
        <v>291</v>
      </c>
      <c r="F638" s="109"/>
      <c r="G638" s="50">
        <f t="shared" si="61"/>
        <v>0</v>
      </c>
      <c r="H638" s="168">
        <f>H639+H640</f>
        <v>0</v>
      </c>
      <c r="I638" s="168">
        <f>I639+I640</f>
        <v>0</v>
      </c>
      <c r="J638" s="168">
        <f>J639+J640</f>
        <v>0</v>
      </c>
      <c r="K638" s="168">
        <f>K639+K640</f>
        <v>0</v>
      </c>
      <c r="L638" s="21"/>
      <c r="N638" s="167"/>
    </row>
    <row r="639" spans="1:14" ht="12.75">
      <c r="A639" s="367">
        <f t="shared" si="60"/>
        <v>616</v>
      </c>
      <c r="B639" s="368"/>
      <c r="C639" s="368"/>
      <c r="D639" s="427" t="s">
        <v>47</v>
      </c>
      <c r="E639" s="66" t="s">
        <v>259</v>
      </c>
      <c r="F639" s="375"/>
      <c r="G639" s="79">
        <f t="shared" si="61"/>
        <v>0</v>
      </c>
      <c r="H639" s="375">
        <f>'BVC  MS'!H638+'BVC DSP'!H639</f>
        <v>0</v>
      </c>
      <c r="I639" s="375">
        <f>'BVC  MS'!I638+'BVC DSP'!I639</f>
        <v>0</v>
      </c>
      <c r="J639" s="375">
        <f>'BVC  MS'!J638+'BVC DSP'!J639</f>
        <v>0</v>
      </c>
      <c r="K639" s="375">
        <f>'BVC  MS'!K638+'BVC DSP'!K639</f>
        <v>0</v>
      </c>
      <c r="L639" s="21"/>
      <c r="N639" s="167"/>
    </row>
    <row r="640" spans="1:14" ht="12.75">
      <c r="A640" s="367">
        <f t="shared" si="60"/>
        <v>617</v>
      </c>
      <c r="B640" s="368"/>
      <c r="C640" s="368"/>
      <c r="D640" s="379">
        <v>50</v>
      </c>
      <c r="E640" s="66" t="s">
        <v>292</v>
      </c>
      <c r="F640" s="375"/>
      <c r="G640" s="79">
        <f t="shared" si="61"/>
        <v>0</v>
      </c>
      <c r="H640" s="375">
        <f>'BVC  MS'!H639+'BVC DSP'!H640</f>
        <v>0</v>
      </c>
      <c r="I640" s="375">
        <f>'BVC  MS'!I639+'BVC DSP'!I640</f>
        <v>0</v>
      </c>
      <c r="J640" s="375">
        <f>'BVC  MS'!J639+'BVC DSP'!J640</f>
        <v>0</v>
      </c>
      <c r="K640" s="375">
        <f>'BVC  MS'!K639+'BVC DSP'!K640</f>
        <v>0</v>
      </c>
      <c r="L640" s="21"/>
      <c r="N640" s="167"/>
    </row>
    <row r="641" spans="1:14" ht="12.75">
      <c r="A641" s="367">
        <f t="shared" si="60"/>
        <v>618</v>
      </c>
      <c r="B641" s="368"/>
      <c r="C641" s="368"/>
      <c r="D641" s="369"/>
      <c r="E641" s="66" t="s">
        <v>299</v>
      </c>
      <c r="F641" s="428"/>
      <c r="G641" s="50">
        <f t="shared" si="61"/>
        <v>0</v>
      </c>
      <c r="H641" s="375">
        <f>'BVC  MS'!H640+'BVC DSP'!H641</f>
        <v>0</v>
      </c>
      <c r="I641" s="375">
        <f>'BVC  MS'!I640+'BVC DSP'!I641</f>
        <v>0</v>
      </c>
      <c r="J641" s="375">
        <f>'BVC  MS'!J640+'BVC DSP'!J641</f>
        <v>0</v>
      </c>
      <c r="K641" s="375">
        <f>'BVC  MS'!K640+'BVC DSP'!K641</f>
        <v>0</v>
      </c>
      <c r="L641" s="21"/>
      <c r="N641" s="167"/>
    </row>
    <row r="642" spans="1:14" ht="12.75">
      <c r="A642" s="367">
        <f t="shared" si="60"/>
        <v>619</v>
      </c>
      <c r="B642" s="368"/>
      <c r="C642" s="368"/>
      <c r="D642" s="369"/>
      <c r="E642" s="66" t="s">
        <v>300</v>
      </c>
      <c r="F642" s="428"/>
      <c r="G642" s="50">
        <f>H642+I642+J642+K642</f>
        <v>0</v>
      </c>
      <c r="H642" s="375">
        <f>'BVC  MS'!H641+'BVC DSP'!H642</f>
        <v>0</v>
      </c>
      <c r="I642" s="375">
        <f>'BVC  MS'!I641+'BVC DSP'!I642</f>
        <v>0</v>
      </c>
      <c r="J642" s="375">
        <f>'BVC  MS'!J641+'BVC DSP'!J642</f>
        <v>0</v>
      </c>
      <c r="K642" s="375">
        <f>'BVC  MS'!K641+'BVC DSP'!K642</f>
        <v>0</v>
      </c>
      <c r="L642" s="21"/>
      <c r="M642" s="170"/>
      <c r="N642" s="167"/>
    </row>
    <row r="643" spans="1:14" ht="13.5" thickBot="1">
      <c r="A643" s="367">
        <f t="shared" si="60"/>
        <v>620</v>
      </c>
      <c r="B643" s="429"/>
      <c r="C643" s="429"/>
      <c r="D643" s="430"/>
      <c r="E643" s="431" t="s">
        <v>301</v>
      </c>
      <c r="F643" s="432"/>
      <c r="G643" s="433">
        <f>H643+I643+J643+K643</f>
        <v>4585.22</v>
      </c>
      <c r="H643" s="375">
        <f>'BVC  MS'!H642+'BVC DSP'!H643</f>
        <v>0</v>
      </c>
      <c r="I643" s="375">
        <f>'BVC  MS'!I642+'BVC DSP'!I643</f>
        <v>0</v>
      </c>
      <c r="J643" s="375">
        <f>'BVC  MS'!J642+'BVC DSP'!J643</f>
        <v>0</v>
      </c>
      <c r="K643" s="375">
        <f>'BVC  MS'!K642+'BVC DSP'!K643</f>
        <v>4585.22</v>
      </c>
      <c r="L643" s="21"/>
      <c r="N643" s="167"/>
    </row>
    <row r="644" spans="1:11" ht="10.5" customHeight="1">
      <c r="A644" s="184"/>
      <c r="B644" s="184"/>
      <c r="C644" s="184"/>
      <c r="D644" s="184"/>
      <c r="E644" s="184"/>
      <c r="F644" s="184"/>
      <c r="G644" s="184"/>
      <c r="H644" s="184"/>
      <c r="I644" s="434"/>
      <c r="J644" s="184"/>
      <c r="K644" s="184"/>
    </row>
    <row r="645" spans="1:11" ht="12.75" hidden="1">
      <c r="A645" s="3" t="s">
        <v>302</v>
      </c>
      <c r="B645" s="2"/>
      <c r="C645" s="2"/>
      <c r="D645" s="3"/>
      <c r="E645" s="3"/>
      <c r="F645" s="3"/>
      <c r="G645" s="3"/>
      <c r="H645" s="3"/>
      <c r="I645" s="3"/>
      <c r="J645" s="3"/>
      <c r="K645" s="3"/>
    </row>
    <row r="646" spans="1:11" ht="12.75" hidden="1">
      <c r="A646" s="3" t="s">
        <v>303</v>
      </c>
      <c r="B646" s="2"/>
      <c r="C646" s="2"/>
      <c r="D646" s="3"/>
      <c r="E646" s="3"/>
      <c r="F646" s="3"/>
      <c r="G646" s="3"/>
      <c r="H646" s="3"/>
      <c r="I646" s="3"/>
      <c r="J646" s="3"/>
      <c r="K646" s="3"/>
    </row>
    <row r="647" spans="1:11" ht="12.75" hidden="1">
      <c r="A647" s="3" t="s">
        <v>304</v>
      </c>
      <c r="B647" s="2"/>
      <c r="C647" s="2"/>
      <c r="D647" s="3"/>
      <c r="E647" s="3"/>
      <c r="F647" s="3"/>
      <c r="G647" s="3"/>
      <c r="H647" s="3"/>
      <c r="I647" s="3"/>
      <c r="J647" s="3"/>
      <c r="K647" s="3"/>
    </row>
    <row r="648" spans="1:11" ht="12.75" hidden="1">
      <c r="A648" s="184"/>
      <c r="B648" s="184"/>
      <c r="C648" s="184"/>
      <c r="D648" s="184"/>
      <c r="E648" s="184"/>
      <c r="F648" s="184"/>
      <c r="G648" s="184"/>
      <c r="H648" s="184"/>
      <c r="I648" s="184"/>
      <c r="J648" s="184"/>
      <c r="K648" s="184"/>
    </row>
    <row r="649" spans="1:11" ht="12.75" hidden="1">
      <c r="A649" s="29" t="s">
        <v>305</v>
      </c>
      <c r="B649" s="435"/>
      <c r="C649" s="435"/>
      <c r="D649" s="436"/>
      <c r="E649" s="436"/>
      <c r="F649" s="436"/>
      <c r="G649" s="436"/>
      <c r="H649" s="436"/>
      <c r="I649" s="436"/>
      <c r="J649" s="436"/>
      <c r="K649" s="436"/>
    </row>
    <row r="650" spans="1:11" ht="12.75" hidden="1">
      <c r="A650" s="3" t="s">
        <v>306</v>
      </c>
      <c r="B650" s="2"/>
      <c r="C650" s="2"/>
      <c r="D650" s="3"/>
      <c r="E650" s="3"/>
      <c r="F650" s="3"/>
      <c r="G650" s="3"/>
      <c r="H650" s="3"/>
      <c r="I650" s="3"/>
      <c r="J650" s="3"/>
      <c r="K650" s="3"/>
    </row>
    <row r="651" spans="1:11" ht="12.75" hidden="1">
      <c r="A651" s="3" t="s">
        <v>307</v>
      </c>
      <c r="B651" s="2"/>
      <c r="C651" s="2"/>
      <c r="D651" s="3"/>
      <c r="E651" s="3"/>
      <c r="F651" s="3"/>
      <c r="G651" s="3"/>
      <c r="H651" s="3"/>
      <c r="I651" s="3"/>
      <c r="J651" s="3"/>
      <c r="K651" s="3"/>
    </row>
    <row r="652" spans="1:11" ht="12.75">
      <c r="A652" s="184"/>
      <c r="B652" s="184"/>
      <c r="C652" s="184"/>
      <c r="D652" s="437" t="s">
        <v>308</v>
      </c>
      <c r="E652" s="184"/>
      <c r="F652" s="2" t="s">
        <v>309</v>
      </c>
      <c r="G652" s="171"/>
      <c r="H652" s="438"/>
      <c r="I652" s="434"/>
      <c r="J652" s="434"/>
      <c r="K652" s="434"/>
    </row>
    <row r="653" spans="1:11" ht="12.75">
      <c r="A653" s="184"/>
      <c r="B653" s="184"/>
      <c r="C653" s="184"/>
      <c r="D653" s="9" t="s">
        <v>310</v>
      </c>
      <c r="E653" s="184"/>
      <c r="F653" s="2" t="s">
        <v>311</v>
      </c>
      <c r="G653" s="2"/>
      <c r="H653" s="2"/>
      <c r="I653" s="184"/>
      <c r="J653" s="184"/>
      <c r="K653" s="184"/>
    </row>
    <row r="654" spans="1:11" ht="12.75">
      <c r="A654" s="184"/>
      <c r="B654" s="184"/>
      <c r="C654" s="184"/>
      <c r="D654" s="9"/>
      <c r="E654" s="184"/>
      <c r="F654" s="184"/>
      <c r="G654" s="184"/>
      <c r="H654" s="2"/>
      <c r="I654" s="184"/>
      <c r="J654" s="184"/>
      <c r="K654" s="184"/>
    </row>
    <row r="655" spans="1:11" ht="12.75">
      <c r="A655" s="184"/>
      <c r="B655" s="184"/>
      <c r="C655" s="184"/>
      <c r="D655" s="184"/>
      <c r="E655" s="127"/>
      <c r="F655" s="127" t="s">
        <v>312</v>
      </c>
      <c r="G655" s="185"/>
      <c r="H655" s="185"/>
      <c r="I655" s="439"/>
      <c r="J655" s="185"/>
      <c r="K655" s="185"/>
    </row>
    <row r="656" spans="1:11" ht="15" customHeight="1">
      <c r="A656" s="184"/>
      <c r="B656" s="184"/>
      <c r="C656" s="184"/>
      <c r="D656" s="184"/>
      <c r="E656" s="127"/>
      <c r="F656" s="127" t="s">
        <v>313</v>
      </c>
      <c r="G656" s="185"/>
      <c r="H656" s="185"/>
      <c r="I656" s="439"/>
      <c r="J656" s="185"/>
      <c r="K656" s="185"/>
    </row>
    <row r="657" spans="1:11" ht="13.5">
      <c r="A657" s="184"/>
      <c r="B657" s="186" t="s">
        <v>314</v>
      </c>
      <c r="C657" s="32"/>
      <c r="D657" s="32"/>
      <c r="E657" s="172"/>
      <c r="F657" s="172"/>
      <c r="G657" s="173"/>
      <c r="H657" s="173"/>
      <c r="I657" s="173"/>
      <c r="J657" s="173"/>
      <c r="K657" s="187"/>
    </row>
    <row r="658" spans="1:11" ht="13.5">
      <c r="A658" s="184"/>
      <c r="B658" s="188" t="s">
        <v>315</v>
      </c>
      <c r="C658" s="174"/>
      <c r="D658" s="174"/>
      <c r="E658" s="174"/>
      <c r="F658" s="172"/>
      <c r="G658" s="173"/>
      <c r="H658" s="173"/>
      <c r="I658" s="173"/>
      <c r="J658" s="173"/>
      <c r="K658" s="187"/>
    </row>
    <row r="659" spans="1:11" ht="13.5">
      <c r="A659" s="184"/>
      <c r="B659" s="188" t="s">
        <v>316</v>
      </c>
      <c r="C659" s="174"/>
      <c r="D659" s="174"/>
      <c r="E659" s="174"/>
      <c r="F659" s="172"/>
      <c r="G659" s="175"/>
      <c r="H659" s="175"/>
      <c r="I659" s="175"/>
      <c r="J659" s="175"/>
      <c r="K659" s="146"/>
    </row>
    <row r="660" spans="1:11" ht="13.5">
      <c r="A660" s="184"/>
      <c r="B660" s="186"/>
      <c r="C660" s="32"/>
      <c r="D660" s="32"/>
      <c r="E660" s="32"/>
      <c r="F660" s="176"/>
      <c r="G660" s="173"/>
      <c r="H660" s="173"/>
      <c r="I660" s="173"/>
      <c r="J660" s="173"/>
      <c r="K660" s="187"/>
    </row>
    <row r="661" spans="1:11" ht="13.5">
      <c r="A661" s="189" t="s">
        <v>317</v>
      </c>
      <c r="B661" s="7"/>
      <c r="C661" s="7"/>
      <c r="D661" s="7"/>
      <c r="E661" s="180"/>
      <c r="F661" s="180"/>
      <c r="G661" s="190"/>
      <c r="H661" s="190"/>
      <c r="I661" s="190"/>
      <c r="J661" s="190"/>
      <c r="K661" s="185"/>
    </row>
    <row r="662" spans="1:11" ht="13.5">
      <c r="A662" s="189" t="s">
        <v>318</v>
      </c>
      <c r="B662" s="7"/>
      <c r="C662" s="7"/>
      <c r="D662" s="7"/>
      <c r="E662" s="190"/>
      <c r="F662" s="190"/>
      <c r="G662" s="191"/>
      <c r="H662" s="190"/>
      <c r="I662" s="178"/>
      <c r="J662" s="190"/>
      <c r="K662" s="185"/>
    </row>
    <row r="663" spans="1:11" ht="13.5">
      <c r="A663" s="189" t="s">
        <v>319</v>
      </c>
      <c r="B663" s="7"/>
      <c r="C663" s="7"/>
      <c r="D663" s="7"/>
      <c r="E663" s="190"/>
      <c r="F663" s="190"/>
      <c r="G663" s="190"/>
      <c r="H663" s="190"/>
      <c r="I663" s="190"/>
      <c r="J663" s="190"/>
      <c r="K663" s="185"/>
    </row>
    <row r="664" spans="1:11" ht="13.5">
      <c r="A664" s="189" t="s">
        <v>320</v>
      </c>
      <c r="B664" s="7"/>
      <c r="C664" s="7"/>
      <c r="D664" s="7"/>
      <c r="E664" s="190"/>
      <c r="F664" s="190"/>
      <c r="G664" s="192"/>
      <c r="H664" s="192"/>
      <c r="I664" s="178"/>
      <c r="J664" s="192"/>
      <c r="K664" s="185"/>
    </row>
    <row r="665" spans="1:11" ht="12.75">
      <c r="A665" s="193"/>
      <c r="B665" s="32"/>
      <c r="C665" s="32"/>
      <c r="D665" s="32"/>
      <c r="E665" s="177"/>
      <c r="F665" s="177"/>
      <c r="G665" s="177"/>
      <c r="H665" s="177"/>
      <c r="I665" s="178"/>
      <c r="J665" s="173"/>
      <c r="K665" s="185"/>
    </row>
    <row r="666" spans="1:11" ht="12.75">
      <c r="A666" s="184"/>
      <c r="B666" s="184"/>
      <c r="C666" s="184"/>
      <c r="D666" s="184"/>
      <c r="E666" s="194"/>
      <c r="F666" s="194"/>
      <c r="G666" s="194"/>
      <c r="H666" s="194"/>
      <c r="I666" s="178"/>
      <c r="J666" s="187"/>
      <c r="K666" s="185"/>
    </row>
    <row r="667" spans="1:11" ht="12.75">
      <c r="A667" s="184"/>
      <c r="B667" s="184"/>
      <c r="C667" s="184"/>
      <c r="D667" s="184"/>
      <c r="E667" s="185"/>
      <c r="F667" s="185"/>
      <c r="G667" s="187"/>
      <c r="H667" s="187"/>
      <c r="I667" s="178"/>
      <c r="J667" s="187"/>
      <c r="K667" s="185"/>
    </row>
    <row r="668" spans="1:11" ht="12.75">
      <c r="A668" s="184"/>
      <c r="B668" s="184"/>
      <c r="C668" s="184"/>
      <c r="D668" s="184"/>
      <c r="E668" s="185"/>
      <c r="F668" s="185"/>
      <c r="G668" s="178"/>
      <c r="H668" s="178"/>
      <c r="I668" s="178"/>
      <c r="J668" s="187"/>
      <c r="K668" s="185"/>
    </row>
    <row r="669" spans="1:11" ht="12.75">
      <c r="A669" s="184"/>
      <c r="B669" s="184"/>
      <c r="C669" s="184"/>
      <c r="D669" s="184"/>
      <c r="E669" s="185"/>
      <c r="F669" s="185"/>
      <c r="G669" s="185"/>
      <c r="H669" s="185"/>
      <c r="I669" s="185"/>
      <c r="J669" s="185"/>
      <c r="K669" s="185"/>
    </row>
    <row r="670" spans="1:11" ht="12.75">
      <c r="A670" s="184"/>
      <c r="B670" s="184"/>
      <c r="C670" s="184"/>
      <c r="D670" s="184"/>
      <c r="E670" s="180"/>
      <c r="F670" s="180"/>
      <c r="G670" s="185"/>
      <c r="H670" s="195"/>
      <c r="I670" s="185"/>
      <c r="J670" s="185"/>
      <c r="K670" s="185"/>
    </row>
    <row r="671" spans="1:11" ht="12.75">
      <c r="A671" s="184"/>
      <c r="B671" s="184"/>
      <c r="C671" s="184"/>
      <c r="D671" s="184"/>
      <c r="E671" s="179"/>
      <c r="F671" s="179"/>
      <c r="G671" s="180"/>
      <c r="H671" s="185"/>
      <c r="I671" s="185"/>
      <c r="J671" s="185"/>
      <c r="K671" s="185"/>
    </row>
    <row r="672" spans="1:11" ht="12.75">
      <c r="A672" s="184"/>
      <c r="B672" s="184"/>
      <c r="C672" s="184"/>
      <c r="D672" s="184"/>
      <c r="E672" s="179"/>
      <c r="F672" s="179"/>
      <c r="G672" s="180"/>
      <c r="H672" s="185"/>
      <c r="I672" s="185"/>
      <c r="J672" s="185"/>
      <c r="K672" s="185"/>
    </row>
    <row r="673" spans="1:11" ht="12.75">
      <c r="A673" s="184"/>
      <c r="B673" s="184"/>
      <c r="C673" s="184"/>
      <c r="D673" s="184"/>
      <c r="E673" s="179"/>
      <c r="F673" s="179"/>
      <c r="G673" s="181"/>
      <c r="H673" s="185"/>
      <c r="I673" s="185"/>
      <c r="J673" s="185"/>
      <c r="K673" s="185"/>
    </row>
    <row r="674" spans="1:11" ht="12.75">
      <c r="A674" s="184"/>
      <c r="B674" s="184"/>
      <c r="C674" s="184"/>
      <c r="D674" s="184"/>
      <c r="E674" s="182"/>
      <c r="F674" s="182"/>
      <c r="G674" s="183"/>
      <c r="H674" s="185"/>
      <c r="I674" s="185"/>
      <c r="J674" s="185"/>
      <c r="K674" s="185"/>
    </row>
    <row r="675" spans="1:11" ht="12.75">
      <c r="A675" s="184"/>
      <c r="B675" s="184"/>
      <c r="C675" s="184"/>
      <c r="D675" s="184"/>
      <c r="E675" s="182"/>
      <c r="F675" s="182"/>
      <c r="G675" s="180"/>
      <c r="H675" s="185"/>
      <c r="I675" s="185"/>
      <c r="J675" s="185"/>
      <c r="K675" s="185"/>
    </row>
    <row r="676" spans="1:11" ht="12.75">
      <c r="A676" s="184"/>
      <c r="B676" s="184"/>
      <c r="C676" s="184"/>
      <c r="D676" s="184"/>
      <c r="E676" s="196"/>
      <c r="F676" s="196"/>
      <c r="G676" s="185"/>
      <c r="H676" s="185"/>
      <c r="I676" s="185"/>
      <c r="J676" s="185"/>
      <c r="K676" s="185"/>
    </row>
    <row r="677" spans="1:11" ht="12.75">
      <c r="A677" s="184"/>
      <c r="B677" s="184"/>
      <c r="C677" s="184"/>
      <c r="D677" s="184"/>
      <c r="E677" s="196"/>
      <c r="F677" s="196"/>
      <c r="G677" s="185"/>
      <c r="H677" s="185"/>
      <c r="I677" s="185"/>
      <c r="J677" s="185"/>
      <c r="K677" s="185"/>
    </row>
    <row r="678" spans="1:11" ht="12.75">
      <c r="A678" s="184"/>
      <c r="B678" s="184"/>
      <c r="C678" s="184"/>
      <c r="D678" s="184"/>
      <c r="E678" s="185"/>
      <c r="F678" s="185"/>
      <c r="G678" s="185"/>
      <c r="H678" s="185"/>
      <c r="I678" s="185"/>
      <c r="J678" s="185"/>
      <c r="K678" s="185"/>
    </row>
    <row r="679" spans="1:11" ht="12.75">
      <c r="A679" s="184"/>
      <c r="B679" s="184"/>
      <c r="C679" s="184"/>
      <c r="D679" s="184"/>
      <c r="E679" s="185"/>
      <c r="F679" s="185"/>
      <c r="G679" s="185"/>
      <c r="H679" s="185"/>
      <c r="I679" s="185"/>
      <c r="J679" s="185"/>
      <c r="K679" s="185"/>
    </row>
    <row r="680" spans="1:11" ht="12.75">
      <c r="A680" s="184"/>
      <c r="B680" s="184"/>
      <c r="C680" s="184"/>
      <c r="D680" s="184"/>
      <c r="E680" s="185"/>
      <c r="F680" s="185"/>
      <c r="G680" s="185"/>
      <c r="H680" s="185"/>
      <c r="I680" s="185"/>
      <c r="J680" s="185"/>
      <c r="K680" s="185"/>
    </row>
    <row r="681" spans="1:11" ht="12.75">
      <c r="A681" s="184"/>
      <c r="B681" s="184"/>
      <c r="C681" s="184"/>
      <c r="D681" s="184"/>
      <c r="E681" s="185"/>
      <c r="F681" s="185"/>
      <c r="G681" s="185"/>
      <c r="H681" s="185"/>
      <c r="I681" s="185"/>
      <c r="J681" s="185"/>
      <c r="K681" s="185"/>
    </row>
    <row r="682" spans="1:11" ht="12.75">
      <c r="A682" s="184"/>
      <c r="B682" s="184"/>
      <c r="C682" s="184"/>
      <c r="D682" s="184"/>
      <c r="E682" s="185"/>
      <c r="F682" s="185"/>
      <c r="G682" s="185"/>
      <c r="H682" s="185"/>
      <c r="I682" s="185"/>
      <c r="J682" s="185"/>
      <c r="K682" s="185"/>
    </row>
    <row r="683" spans="1:11" ht="12.75">
      <c r="A683" s="184"/>
      <c r="B683" s="184"/>
      <c r="C683" s="184"/>
      <c r="D683" s="184"/>
      <c r="E683" s="185"/>
      <c r="F683" s="185"/>
      <c r="G683" s="185"/>
      <c r="H683" s="185"/>
      <c r="I683" s="185"/>
      <c r="J683" s="185"/>
      <c r="K683" s="185"/>
    </row>
    <row r="684" spans="1:11" ht="12.75">
      <c r="A684" s="184"/>
      <c r="B684" s="184"/>
      <c r="C684" s="184"/>
      <c r="D684" s="184"/>
      <c r="E684" s="185"/>
      <c r="F684" s="185"/>
      <c r="G684" s="185"/>
      <c r="H684" s="185"/>
      <c r="I684" s="185"/>
      <c r="J684" s="185"/>
      <c r="K684" s="185"/>
    </row>
    <row r="685" spans="1:11" ht="12.75">
      <c r="A685" s="184"/>
      <c r="B685" s="184"/>
      <c r="C685" s="184"/>
      <c r="D685" s="184"/>
      <c r="E685" s="184"/>
      <c r="F685" s="184"/>
      <c r="G685" s="184"/>
      <c r="H685" s="184"/>
      <c r="I685" s="184"/>
      <c r="J685" s="184"/>
      <c r="K685" s="184"/>
    </row>
    <row r="686" spans="1:11" ht="12.75">
      <c r="A686" s="184"/>
      <c r="B686" s="184"/>
      <c r="C686" s="184"/>
      <c r="D686" s="184"/>
      <c r="E686" s="184"/>
      <c r="F686" s="184"/>
      <c r="G686" s="184"/>
      <c r="H686" s="184"/>
      <c r="I686" s="184"/>
      <c r="J686" s="184"/>
      <c r="K686" s="184"/>
    </row>
    <row r="687" spans="1:11" ht="12.75">
      <c r="A687" s="184"/>
      <c r="B687" s="184"/>
      <c r="C687" s="184"/>
      <c r="D687" s="184"/>
      <c r="E687" s="184"/>
      <c r="F687" s="184"/>
      <c r="G687" s="184"/>
      <c r="H687" s="184"/>
      <c r="I687" s="184"/>
      <c r="J687" s="184"/>
      <c r="K687" s="184"/>
    </row>
    <row r="688" spans="1:11" ht="12.75">
      <c r="A688" s="184"/>
      <c r="B688" s="184"/>
      <c r="C688" s="184"/>
      <c r="D688" s="184"/>
      <c r="E688" s="2" t="s">
        <v>353</v>
      </c>
      <c r="F688" s="184"/>
      <c r="G688" s="184"/>
      <c r="H688" s="184"/>
      <c r="I688" s="184"/>
      <c r="J688" s="184"/>
      <c r="K688" s="184"/>
    </row>
    <row r="689" spans="1:11" ht="12.75">
      <c r="A689" s="184"/>
      <c r="B689" s="184"/>
      <c r="C689" s="184"/>
      <c r="D689" s="184"/>
      <c r="E689" s="184" t="s">
        <v>354</v>
      </c>
      <c r="F689" s="184"/>
      <c r="G689" s="184"/>
      <c r="H689" s="184"/>
      <c r="I689" s="184"/>
      <c r="J689" s="184"/>
      <c r="K689" s="184"/>
    </row>
    <row r="690" spans="1:11" ht="12.75">
      <c r="A690" s="184"/>
      <c r="B690" s="184"/>
      <c r="C690" s="184"/>
      <c r="D690" s="184"/>
      <c r="E690" s="184"/>
      <c r="F690" s="184"/>
      <c r="G690" s="184"/>
      <c r="H690" s="184"/>
      <c r="I690" s="184"/>
      <c r="J690" s="184"/>
      <c r="K690" s="184"/>
    </row>
    <row r="691" spans="1:11" ht="12.75">
      <c r="A691" s="184"/>
      <c r="B691" s="184"/>
      <c r="C691" s="184"/>
      <c r="D691" s="184"/>
      <c r="E691" s="184"/>
      <c r="F691" s="184"/>
      <c r="G691" s="184"/>
      <c r="H691" s="184"/>
      <c r="I691" s="184"/>
      <c r="J691" s="184"/>
      <c r="K691" s="184"/>
    </row>
    <row r="692" spans="1:11" ht="12.75">
      <c r="A692" s="184"/>
      <c r="B692" s="184"/>
      <c r="C692" s="184"/>
      <c r="D692" s="184"/>
      <c r="E692" s="184"/>
      <c r="F692" s="311" t="s">
        <v>355</v>
      </c>
      <c r="G692" s="308"/>
      <c r="H692" s="184"/>
      <c r="I692" s="184"/>
      <c r="J692" s="184"/>
      <c r="K692" s="184"/>
    </row>
    <row r="693" spans="1:11" ht="12.75">
      <c r="A693" s="184"/>
      <c r="B693" s="85">
        <v>20</v>
      </c>
      <c r="C693" s="85"/>
      <c r="D693" s="85"/>
      <c r="E693" s="85" t="s">
        <v>270</v>
      </c>
      <c r="F693" s="305">
        <v>34113990</v>
      </c>
      <c r="G693" s="310"/>
      <c r="H693" s="184"/>
      <c r="I693" s="303"/>
      <c r="J693" s="184"/>
      <c r="K693" s="184"/>
    </row>
    <row r="694" spans="1:11" ht="12.75">
      <c r="A694" s="184"/>
      <c r="B694" s="302"/>
      <c r="C694" s="302" t="s">
        <v>47</v>
      </c>
      <c r="D694" s="302"/>
      <c r="E694" s="302" t="s">
        <v>130</v>
      </c>
      <c r="F694" s="306">
        <v>10257580</v>
      </c>
      <c r="G694" s="308"/>
      <c r="H694" s="184"/>
      <c r="I694" s="303"/>
      <c r="J694" s="184"/>
      <c r="K694" s="184"/>
    </row>
    <row r="695" spans="1:11" ht="12.75">
      <c r="A695" s="184"/>
      <c r="B695" s="302"/>
      <c r="C695" s="302"/>
      <c r="D695" s="302" t="s">
        <v>47</v>
      </c>
      <c r="E695" s="302" t="s">
        <v>186</v>
      </c>
      <c r="F695" s="306">
        <v>276080</v>
      </c>
      <c r="G695" s="308"/>
      <c r="H695" s="184"/>
      <c r="I695" s="303"/>
      <c r="J695" s="184"/>
      <c r="K695" s="184"/>
    </row>
    <row r="696" spans="1:11" ht="12.75">
      <c r="A696" s="184"/>
      <c r="B696" s="302"/>
      <c r="C696" s="302"/>
      <c r="D696" s="302" t="s">
        <v>80</v>
      </c>
      <c r="E696" s="302" t="s">
        <v>187</v>
      </c>
      <c r="F696" s="306">
        <v>249200</v>
      </c>
      <c r="G696" s="308"/>
      <c r="H696" s="184"/>
      <c r="I696" s="303"/>
      <c r="J696" s="184"/>
      <c r="K696" s="184"/>
    </row>
    <row r="697" spans="1:11" ht="12.75">
      <c r="A697" s="184"/>
      <c r="B697" s="302"/>
      <c r="C697" s="302"/>
      <c r="D697" s="302" t="s">
        <v>84</v>
      </c>
      <c r="E697" s="302" t="s">
        <v>188</v>
      </c>
      <c r="F697" s="306">
        <v>3241640</v>
      </c>
      <c r="G697" s="308"/>
      <c r="H697" s="184"/>
      <c r="I697" s="303"/>
      <c r="J697" s="184"/>
      <c r="K697" s="184"/>
    </row>
    <row r="698" spans="1:11" ht="12.75">
      <c r="A698" s="184"/>
      <c r="B698" s="302"/>
      <c r="C698" s="302"/>
      <c r="D698" s="302" t="s">
        <v>108</v>
      </c>
      <c r="E698" s="302" t="s">
        <v>189</v>
      </c>
      <c r="F698" s="306">
        <v>1460340</v>
      </c>
      <c r="G698" s="308"/>
      <c r="H698" s="184"/>
      <c r="I698" s="303"/>
      <c r="J698" s="184"/>
      <c r="K698" s="184"/>
    </row>
    <row r="699" spans="1:11" ht="12.75">
      <c r="A699" s="184"/>
      <c r="B699" s="302"/>
      <c r="C699" s="302"/>
      <c r="D699" s="302" t="s">
        <v>41</v>
      </c>
      <c r="E699" s="302" t="s">
        <v>190</v>
      </c>
      <c r="F699" s="306">
        <v>100000</v>
      </c>
      <c r="G699" s="308"/>
      <c r="H699" s="184"/>
      <c r="I699" s="303"/>
      <c r="J699" s="184"/>
      <c r="K699" s="184"/>
    </row>
    <row r="700" spans="1:11" ht="12.75">
      <c r="A700" s="184"/>
      <c r="B700" s="302"/>
      <c r="C700" s="302"/>
      <c r="D700" s="302" t="s">
        <v>154</v>
      </c>
      <c r="E700" s="302" t="s">
        <v>191</v>
      </c>
      <c r="F700" s="306">
        <v>614200</v>
      </c>
      <c r="G700" s="308"/>
      <c r="H700" s="184"/>
      <c r="I700" s="303"/>
      <c r="J700" s="184"/>
      <c r="K700" s="184"/>
    </row>
    <row r="701" spans="1:11" ht="12.75">
      <c r="A701" s="184"/>
      <c r="B701" s="302"/>
      <c r="C701" s="302"/>
      <c r="D701" s="302" t="s">
        <v>157</v>
      </c>
      <c r="E701" s="302" t="s">
        <v>192</v>
      </c>
      <c r="F701" s="306">
        <v>297240</v>
      </c>
      <c r="G701" s="308"/>
      <c r="H701" s="184"/>
      <c r="I701" s="303"/>
      <c r="J701" s="184"/>
      <c r="K701" s="184"/>
    </row>
    <row r="702" spans="1:11" ht="12.75">
      <c r="A702" s="184"/>
      <c r="B702" s="302"/>
      <c r="C702" s="302"/>
      <c r="D702" s="302" t="s">
        <v>65</v>
      </c>
      <c r="E702" s="302" t="s">
        <v>193</v>
      </c>
      <c r="F702" s="306">
        <v>442040</v>
      </c>
      <c r="G702" s="308"/>
      <c r="H702" s="184"/>
      <c r="I702" s="303"/>
      <c r="J702" s="184"/>
      <c r="K702" s="184"/>
    </row>
    <row r="703" spans="2:9" ht="12.75">
      <c r="B703" s="111"/>
      <c r="C703" s="111"/>
      <c r="D703" s="111" t="s">
        <v>160</v>
      </c>
      <c r="E703" s="111" t="s">
        <v>194</v>
      </c>
      <c r="F703" s="307">
        <v>173120</v>
      </c>
      <c r="G703" s="123"/>
      <c r="H703" s="184"/>
      <c r="I703" s="304"/>
    </row>
    <row r="704" spans="2:9" ht="12.75">
      <c r="B704" s="111"/>
      <c r="C704" s="111"/>
      <c r="D704" s="111">
        <v>30</v>
      </c>
      <c r="E704" s="111" t="s">
        <v>271</v>
      </c>
      <c r="F704" s="307">
        <v>3403720</v>
      </c>
      <c r="G704" s="123"/>
      <c r="H704" s="184"/>
      <c r="I704" s="304"/>
    </row>
    <row r="705" spans="2:9" ht="12.75">
      <c r="B705" s="111"/>
      <c r="C705" s="111" t="s">
        <v>80</v>
      </c>
      <c r="D705" s="111"/>
      <c r="E705" s="111" t="s">
        <v>196</v>
      </c>
      <c r="F705" s="307">
        <v>314820</v>
      </c>
      <c r="G705" s="123"/>
      <c r="H705" s="184"/>
      <c r="I705" s="304"/>
    </row>
    <row r="706" spans="2:9" ht="12.75">
      <c r="B706" s="111"/>
      <c r="C706" s="111" t="s">
        <v>84</v>
      </c>
      <c r="D706" s="111"/>
      <c r="E706" s="111" t="s">
        <v>197</v>
      </c>
      <c r="F706" s="307">
        <v>2893350</v>
      </c>
      <c r="G706" s="123"/>
      <c r="H706" s="184"/>
      <c r="I706" s="304"/>
    </row>
    <row r="707" spans="2:9" ht="12.75">
      <c r="B707" s="111"/>
      <c r="C707" s="111"/>
      <c r="D707" s="111" t="s">
        <v>47</v>
      </c>
      <c r="E707" s="111" t="s">
        <v>198</v>
      </c>
      <c r="F707" s="307">
        <v>2893350</v>
      </c>
      <c r="G707" s="123"/>
      <c r="H707" s="184"/>
      <c r="I707" s="304"/>
    </row>
    <row r="708" spans="2:9" ht="12.75">
      <c r="B708" s="111"/>
      <c r="C708" s="111"/>
      <c r="D708" s="111" t="s">
        <v>80</v>
      </c>
      <c r="E708" s="111" t="s">
        <v>199</v>
      </c>
      <c r="F708" s="307">
        <v>0</v>
      </c>
      <c r="G708" s="123"/>
      <c r="H708" s="184"/>
      <c r="I708" s="304"/>
    </row>
    <row r="709" spans="2:9" ht="12.75">
      <c r="B709" s="111"/>
      <c r="C709" s="111" t="s">
        <v>108</v>
      </c>
      <c r="D709" s="111"/>
      <c r="E709" s="111" t="s">
        <v>200</v>
      </c>
      <c r="F709" s="307">
        <v>19195080</v>
      </c>
      <c r="G709" s="309"/>
      <c r="H709" s="184"/>
      <c r="I709" s="304"/>
    </row>
    <row r="710" spans="2:9" ht="12.75">
      <c r="B710" s="111"/>
      <c r="C710" s="111"/>
      <c r="D710" s="111" t="s">
        <v>47</v>
      </c>
      <c r="E710" s="111" t="s">
        <v>201</v>
      </c>
      <c r="F710" s="307">
        <v>11216950</v>
      </c>
      <c r="G710" s="309"/>
      <c r="H710" s="184"/>
      <c r="I710" s="304"/>
    </row>
    <row r="711" spans="2:9" ht="12.75">
      <c r="B711" s="111"/>
      <c r="C711" s="111"/>
      <c r="D711" s="111" t="s">
        <v>80</v>
      </c>
      <c r="E711" s="111" t="s">
        <v>202</v>
      </c>
      <c r="F711" s="307">
        <v>4870400</v>
      </c>
      <c r="G711" s="309"/>
      <c r="H711" s="184"/>
      <c r="I711" s="304"/>
    </row>
    <row r="712" spans="2:9" ht="12.75">
      <c r="B712" s="111"/>
      <c r="C712" s="111"/>
      <c r="D712" s="111" t="s">
        <v>84</v>
      </c>
      <c r="E712" s="111" t="s">
        <v>203</v>
      </c>
      <c r="F712" s="307">
        <v>2457810</v>
      </c>
      <c r="G712" s="123"/>
      <c r="H712" s="184"/>
      <c r="I712" s="304"/>
    </row>
    <row r="713" spans="2:9" ht="12.75">
      <c r="B713" s="111"/>
      <c r="C713" s="111"/>
      <c r="D713" s="111" t="s">
        <v>108</v>
      </c>
      <c r="E713" s="111" t="s">
        <v>204</v>
      </c>
      <c r="F713" s="307">
        <v>649920</v>
      </c>
      <c r="G713" s="123"/>
      <c r="H713" s="184"/>
      <c r="I713" s="304"/>
    </row>
    <row r="714" spans="2:9" ht="12.75">
      <c r="B714" s="111"/>
      <c r="C714" s="111" t="s">
        <v>41</v>
      </c>
      <c r="D714" s="111"/>
      <c r="E714" s="111" t="s">
        <v>205</v>
      </c>
      <c r="F714" s="307">
        <v>991280</v>
      </c>
      <c r="G714" s="123"/>
      <c r="H714" s="184"/>
      <c r="I714" s="304"/>
    </row>
    <row r="715" spans="2:9" ht="12.75">
      <c r="B715" s="111"/>
      <c r="C715" s="111"/>
      <c r="D715" s="111" t="s">
        <v>47</v>
      </c>
      <c r="E715" s="111" t="s">
        <v>206</v>
      </c>
      <c r="F715" s="307">
        <v>13280</v>
      </c>
      <c r="G715" s="123"/>
      <c r="H715" s="184"/>
      <c r="I715" s="304"/>
    </row>
    <row r="716" spans="2:9" ht="12.75">
      <c r="B716" s="111"/>
      <c r="C716" s="111"/>
      <c r="D716" s="111" t="s">
        <v>84</v>
      </c>
      <c r="E716" s="111" t="s">
        <v>207</v>
      </c>
      <c r="F716" s="307">
        <v>25360</v>
      </c>
      <c r="G716" s="123"/>
      <c r="H716" s="184"/>
      <c r="I716" s="304"/>
    </row>
    <row r="717" spans="2:9" ht="12.75">
      <c r="B717" s="111"/>
      <c r="C717" s="111"/>
      <c r="D717" s="111">
        <v>30</v>
      </c>
      <c r="E717" s="111" t="s">
        <v>208</v>
      </c>
      <c r="F717" s="307">
        <v>952640</v>
      </c>
      <c r="G717" s="123"/>
      <c r="H717" s="184"/>
      <c r="I717" s="304"/>
    </row>
    <row r="718" spans="2:9" ht="12.75">
      <c r="B718" s="111"/>
      <c r="C718" s="111" t="s">
        <v>154</v>
      </c>
      <c r="D718" s="111"/>
      <c r="E718" s="111" t="s">
        <v>209</v>
      </c>
      <c r="F718" s="307">
        <v>37630</v>
      </c>
      <c r="G718" s="123"/>
      <c r="H718" s="184"/>
      <c r="I718" s="304"/>
    </row>
    <row r="719" spans="2:9" ht="12.75">
      <c r="B719" s="111"/>
      <c r="C719" s="111"/>
      <c r="D719" s="111" t="s">
        <v>47</v>
      </c>
      <c r="E719" s="111" t="s">
        <v>272</v>
      </c>
      <c r="F719" s="307">
        <v>24790</v>
      </c>
      <c r="G719" s="123"/>
      <c r="H719" s="184"/>
      <c r="I719" s="304"/>
    </row>
    <row r="720" spans="2:9" ht="12.75">
      <c r="B720" s="111"/>
      <c r="C720" s="111"/>
      <c r="D720" s="111" t="s">
        <v>80</v>
      </c>
      <c r="E720" s="111" t="s">
        <v>211</v>
      </c>
      <c r="F720" s="307">
        <v>12840</v>
      </c>
      <c r="G720" s="123"/>
      <c r="H720" s="184"/>
      <c r="I720" s="304"/>
    </row>
    <row r="721" spans="2:9" ht="12.75">
      <c r="B721" s="111"/>
      <c r="C721" s="111" t="s">
        <v>160</v>
      </c>
      <c r="D721" s="111"/>
      <c r="E721" s="111" t="s">
        <v>212</v>
      </c>
      <c r="F721" s="307">
        <v>286680</v>
      </c>
      <c r="G721" s="123"/>
      <c r="H721" s="184"/>
      <c r="I721" s="304"/>
    </row>
    <row r="722" spans="2:9" ht="12.75">
      <c r="B722" s="111"/>
      <c r="C722" s="111">
        <v>10</v>
      </c>
      <c r="D722" s="111"/>
      <c r="E722" s="111" t="s">
        <v>213</v>
      </c>
      <c r="F722" s="307">
        <v>0</v>
      </c>
      <c r="G722" s="123"/>
      <c r="H722" s="184"/>
      <c r="I722" s="304"/>
    </row>
    <row r="723" spans="2:9" ht="12.75">
      <c r="B723" s="111"/>
      <c r="C723" s="111">
        <v>11</v>
      </c>
      <c r="D723" s="111"/>
      <c r="E723" s="111" t="s">
        <v>273</v>
      </c>
      <c r="F723" s="307">
        <v>3330</v>
      </c>
      <c r="G723" s="123"/>
      <c r="H723" s="184"/>
      <c r="I723" s="304"/>
    </row>
    <row r="724" spans="2:9" ht="12.75">
      <c r="B724" s="111"/>
      <c r="C724" s="111">
        <v>12</v>
      </c>
      <c r="D724" s="111"/>
      <c r="E724" s="111" t="s">
        <v>274</v>
      </c>
      <c r="F724" s="307">
        <v>0</v>
      </c>
      <c r="G724" s="123"/>
      <c r="H724" s="184"/>
      <c r="I724" s="304"/>
    </row>
    <row r="725" spans="2:9" ht="12.75">
      <c r="B725" s="111"/>
      <c r="C725" s="111">
        <v>13</v>
      </c>
      <c r="D725" s="111"/>
      <c r="E725" s="111" t="s">
        <v>216</v>
      </c>
      <c r="F725" s="307">
        <v>24000</v>
      </c>
      <c r="G725" s="123"/>
      <c r="H725" s="184"/>
      <c r="I725" s="304"/>
    </row>
    <row r="726" spans="2:9" ht="12.75">
      <c r="B726" s="111"/>
      <c r="C726" s="111">
        <v>14</v>
      </c>
      <c r="D726" s="111"/>
      <c r="E726" s="111" t="s">
        <v>217</v>
      </c>
      <c r="F726" s="307">
        <v>0</v>
      </c>
      <c r="G726" s="123"/>
      <c r="H726" s="184"/>
      <c r="I726" s="304"/>
    </row>
    <row r="727" spans="2:9" ht="12.75">
      <c r="B727" s="111"/>
      <c r="C727" s="111">
        <v>25</v>
      </c>
      <c r="D727" s="111"/>
      <c r="E727" s="111" t="s">
        <v>218</v>
      </c>
      <c r="F727" s="307">
        <v>0</v>
      </c>
      <c r="G727" s="123"/>
      <c r="H727" s="184"/>
      <c r="I727" s="304"/>
    </row>
    <row r="728" spans="2:9" ht="12.75">
      <c r="B728" s="111"/>
      <c r="C728" s="111">
        <v>27</v>
      </c>
      <c r="D728" s="111"/>
      <c r="E728" s="111" t="s">
        <v>219</v>
      </c>
      <c r="F728" s="307">
        <v>0</v>
      </c>
      <c r="G728" s="123"/>
      <c r="H728" s="184"/>
      <c r="I728" s="304"/>
    </row>
    <row r="729" spans="2:9" ht="12.75">
      <c r="B729" s="111"/>
      <c r="C729" s="111">
        <v>30</v>
      </c>
      <c r="D729" s="111"/>
      <c r="E729" s="111" t="s">
        <v>120</v>
      </c>
      <c r="F729" s="307">
        <v>110240</v>
      </c>
      <c r="G729" s="123"/>
      <c r="H729" s="184"/>
      <c r="I729" s="304"/>
    </row>
    <row r="730" spans="2:9" ht="12.75">
      <c r="B730" s="111"/>
      <c r="C730" s="111"/>
      <c r="D730" s="111" t="s">
        <v>47</v>
      </c>
      <c r="E730" s="111" t="s">
        <v>220</v>
      </c>
      <c r="F730" s="307">
        <v>0</v>
      </c>
      <c r="G730" s="123"/>
      <c r="H730" s="184"/>
      <c r="I730" s="304"/>
    </row>
    <row r="731" spans="2:9" ht="12.75">
      <c r="B731" s="111"/>
      <c r="C731" s="111"/>
      <c r="D731" s="111" t="s">
        <v>84</v>
      </c>
      <c r="E731" s="111" t="s">
        <v>221</v>
      </c>
      <c r="F731" s="307">
        <v>0</v>
      </c>
      <c r="G731" s="123"/>
      <c r="H731" s="184"/>
      <c r="I731" s="304"/>
    </row>
    <row r="732" spans="2:9" ht="12.75">
      <c r="B732" s="111"/>
      <c r="C732" s="111"/>
      <c r="D732" s="111" t="s">
        <v>108</v>
      </c>
      <c r="E732" s="111" t="s">
        <v>222</v>
      </c>
      <c r="F732" s="307">
        <v>105260</v>
      </c>
      <c r="G732" s="123"/>
      <c r="H732" s="184"/>
      <c r="I732" s="304"/>
    </row>
    <row r="733" spans="2:9" ht="12.75">
      <c r="B733" s="111"/>
      <c r="C733" s="111"/>
      <c r="D733" s="111" t="s">
        <v>160</v>
      </c>
      <c r="E733" s="111" t="s">
        <v>223</v>
      </c>
      <c r="F733" s="307">
        <v>0</v>
      </c>
      <c r="G733" s="123"/>
      <c r="H733" s="184"/>
      <c r="I733" s="304"/>
    </row>
    <row r="734" spans="2:9" ht="12.75">
      <c r="B734" s="111"/>
      <c r="C734" s="111"/>
      <c r="D734" s="111">
        <v>30</v>
      </c>
      <c r="E734" s="111" t="s">
        <v>224</v>
      </c>
      <c r="F734" s="307">
        <v>4980</v>
      </c>
      <c r="G734" s="123"/>
      <c r="H734" s="184"/>
      <c r="I734" s="304"/>
    </row>
    <row r="735" spans="2:9" ht="12.75">
      <c r="B735" s="111">
        <v>30</v>
      </c>
      <c r="C735" s="111"/>
      <c r="D735" s="111"/>
      <c r="E735" s="111" t="s">
        <v>225</v>
      </c>
      <c r="F735" s="307">
        <v>0</v>
      </c>
      <c r="G735" s="123"/>
      <c r="H735" s="184"/>
      <c r="I735" s="304"/>
    </row>
    <row r="736" spans="2:9" ht="12.75">
      <c r="B736" s="111"/>
      <c r="C736" s="111" t="s">
        <v>84</v>
      </c>
      <c r="D736" s="111"/>
      <c r="E736" s="111" t="s">
        <v>226</v>
      </c>
      <c r="F736" s="307">
        <v>0</v>
      </c>
      <c r="G736" s="123"/>
      <c r="H736" s="184"/>
      <c r="I736" s="304"/>
    </row>
    <row r="737" spans="2:9" ht="12.75">
      <c r="B737" s="111"/>
      <c r="C737" s="111"/>
      <c r="D737" s="111" t="s">
        <v>41</v>
      </c>
      <c r="E737" s="111" t="s">
        <v>227</v>
      </c>
      <c r="F737" s="307">
        <v>0</v>
      </c>
      <c r="G737" s="123"/>
      <c r="H737" s="184"/>
      <c r="I737" s="304"/>
    </row>
    <row r="738" spans="2:9" ht="12.75">
      <c r="B738" s="111" t="s">
        <v>228</v>
      </c>
      <c r="C738" s="111"/>
      <c r="D738" s="111"/>
      <c r="E738" s="111" t="s">
        <v>229</v>
      </c>
      <c r="F738" s="307">
        <v>13750000</v>
      </c>
      <c r="G738" s="123"/>
      <c r="H738" s="184"/>
      <c r="I738" s="304"/>
    </row>
    <row r="739" spans="2:9" ht="12.75">
      <c r="B739" s="111">
        <v>57</v>
      </c>
      <c r="C739" s="111"/>
      <c r="D739" s="111"/>
      <c r="E739" s="111" t="s">
        <v>230</v>
      </c>
      <c r="F739" s="307">
        <v>0</v>
      </c>
      <c r="G739" s="123"/>
      <c r="H739" s="184"/>
      <c r="I739" s="304"/>
    </row>
    <row r="740" spans="2:9" ht="12.75">
      <c r="B740" s="111"/>
      <c r="C740" s="111" t="s">
        <v>47</v>
      </c>
      <c r="D740" s="111"/>
      <c r="E740" s="111" t="s">
        <v>231</v>
      </c>
      <c r="F740" s="307">
        <v>0</v>
      </c>
      <c r="G740" s="123"/>
      <c r="H740" s="184"/>
      <c r="I740" s="304"/>
    </row>
    <row r="741" spans="2:9" ht="12.75">
      <c r="B741" s="111"/>
      <c r="C741" s="111" t="s">
        <v>80</v>
      </c>
      <c r="D741" s="111"/>
      <c r="E741" s="111" t="s">
        <v>232</v>
      </c>
      <c r="F741" s="307">
        <v>0</v>
      </c>
      <c r="G741" s="123"/>
      <c r="H741" s="184"/>
      <c r="I741" s="304"/>
    </row>
    <row r="742" spans="2:9" ht="12.75">
      <c r="B742" s="111"/>
      <c r="C742" s="111"/>
      <c r="D742" s="111" t="s">
        <v>47</v>
      </c>
      <c r="E742" s="111" t="s">
        <v>233</v>
      </c>
      <c r="F742" s="307">
        <v>0</v>
      </c>
      <c r="G742" s="123"/>
      <c r="H742" s="184"/>
      <c r="I742" s="304"/>
    </row>
    <row r="743" spans="2:9" ht="12.75">
      <c r="B743" s="111"/>
      <c r="C743" s="111"/>
      <c r="D743" s="111" t="s">
        <v>80</v>
      </c>
      <c r="E743" s="111" t="s">
        <v>234</v>
      </c>
      <c r="F743" s="307">
        <v>0</v>
      </c>
      <c r="G743" s="123"/>
      <c r="H743" s="184"/>
      <c r="I743" s="304"/>
    </row>
    <row r="744" spans="2:9" ht="12.75">
      <c r="B744" s="111"/>
      <c r="C744" s="111"/>
      <c r="D744" s="111" t="s">
        <v>84</v>
      </c>
      <c r="E744" s="111" t="s">
        <v>235</v>
      </c>
      <c r="F744" s="307">
        <v>0</v>
      </c>
      <c r="G744" s="123"/>
      <c r="H744" s="184"/>
      <c r="I744" s="304"/>
    </row>
    <row r="745" spans="2:9" ht="12.75">
      <c r="B745" s="111"/>
      <c r="C745" s="111"/>
      <c r="D745" s="111" t="s">
        <v>108</v>
      </c>
      <c r="E745" s="111" t="s">
        <v>236</v>
      </c>
      <c r="F745" s="307">
        <v>0</v>
      </c>
      <c r="G745" s="123"/>
      <c r="H745" s="184"/>
      <c r="I745" s="304"/>
    </row>
    <row r="746" spans="2:9" ht="12.75">
      <c r="B746" s="85">
        <v>70</v>
      </c>
      <c r="C746" s="85"/>
      <c r="D746" s="85"/>
      <c r="E746" s="85" t="s">
        <v>237</v>
      </c>
      <c r="F746" s="305">
        <v>378740</v>
      </c>
      <c r="G746" s="214"/>
      <c r="H746" s="184"/>
      <c r="I746" s="304"/>
    </row>
    <row r="747" spans="2:9" ht="12.75">
      <c r="B747" s="111">
        <v>71</v>
      </c>
      <c r="C747" s="111"/>
      <c r="D747" s="111"/>
      <c r="E747" s="111" t="s">
        <v>238</v>
      </c>
      <c r="F747" s="307">
        <v>378740</v>
      </c>
      <c r="G747" s="123"/>
      <c r="H747" s="184"/>
      <c r="I747" s="304"/>
    </row>
    <row r="748" spans="2:9" ht="12.75">
      <c r="B748" s="111"/>
      <c r="C748" s="111" t="s">
        <v>47</v>
      </c>
      <c r="D748" s="111"/>
      <c r="E748" s="111" t="s">
        <v>77</v>
      </c>
      <c r="F748" s="307">
        <v>378740</v>
      </c>
      <c r="G748" s="123"/>
      <c r="H748" s="184"/>
      <c r="I748" s="304"/>
    </row>
    <row r="750" ht="12.75">
      <c r="E750" t="s">
        <v>313</v>
      </c>
    </row>
  </sheetData>
  <sheetProtection/>
  <printOptions/>
  <pageMargins left="0.83" right="0.98" top="1" bottom="1" header="0.17" footer="0.18"/>
  <pageSetup fitToHeight="1000" fitToWidth="1" horizontalDpi="600" verticalDpi="600" orientation="landscape" paperSize="9" scale="86" r:id="rId1"/>
  <headerFooter alignWithMargins="0">
    <oddFooter>&amp;C&amp;P</oddFooter>
  </headerFooter>
  <rowBreaks count="5" manualBreakCount="5">
    <brk id="56" max="60" man="1"/>
    <brk id="112" max="255" man="1"/>
    <brk id="164" max="255" man="1"/>
    <brk id="232" max="60" man="1"/>
    <brk id="271" max="60" man="1"/>
  </rowBreaks>
  <colBreaks count="3" manualBreakCount="3">
    <brk id="11" max="65535" man="1"/>
    <brk id="25" max="65535" man="1"/>
    <brk id="47" max="7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00"/>
  <sheetViews>
    <sheetView zoomScalePageLayoutView="0" workbookViewId="0" topLeftCell="Y1">
      <selection activeCell="AF23" sqref="AF23:AF27"/>
    </sheetView>
  </sheetViews>
  <sheetFormatPr defaultColWidth="9.140625" defaultRowHeight="12.75"/>
  <cols>
    <col min="1" max="1" width="6.00390625" style="0" customWidth="1"/>
    <col min="2" max="2" width="5.7109375" style="0" customWidth="1"/>
    <col min="3" max="3" width="6.57421875" style="0" customWidth="1"/>
    <col min="4" max="4" width="5.00390625" style="0" customWidth="1"/>
    <col min="5" max="5" width="51.28125" style="0" customWidth="1"/>
    <col min="6" max="6" width="12.28125" style="0" customWidth="1"/>
    <col min="7" max="7" width="13.57421875" style="0" customWidth="1"/>
    <col min="8" max="8" width="11.7109375" style="0" customWidth="1"/>
    <col min="9" max="9" width="9.8515625" style="0" customWidth="1"/>
    <col min="10" max="10" width="11.8515625" style="0" customWidth="1"/>
    <col min="11" max="11" width="11.57421875" style="0" bestFit="1" customWidth="1"/>
    <col min="12" max="12" width="12.421875" style="0" customWidth="1"/>
    <col min="13" max="13" width="12.28125" style="0" customWidth="1"/>
    <col min="14" max="14" width="11.28125" style="0" bestFit="1" customWidth="1"/>
    <col min="15" max="15" width="10.57421875" style="0" customWidth="1"/>
    <col min="16" max="16" width="9.28125" style="0" bestFit="1" customWidth="1"/>
    <col min="17" max="17" width="10.28125" style="0" customWidth="1"/>
    <col min="18" max="18" width="11.00390625" style="0" customWidth="1"/>
    <col min="19" max="19" width="12.140625" style="0" customWidth="1"/>
    <col min="20" max="20" width="10.57421875" style="0" customWidth="1"/>
    <col min="21" max="21" width="12.7109375" style="0" customWidth="1"/>
    <col min="22" max="23" width="9.28125" style="0" bestFit="1" customWidth="1"/>
    <col min="24" max="24" width="9.8515625" style="0" bestFit="1" customWidth="1"/>
    <col min="25" max="25" width="13.00390625" style="0" customWidth="1"/>
    <col min="31" max="31" width="55.57421875" style="0" customWidth="1"/>
    <col min="32" max="32" width="16.8515625" style="0" customWidth="1"/>
    <col min="33" max="33" width="10.57421875" style="0" customWidth="1"/>
    <col min="34" max="34" width="1.421875" style="0" customWidth="1"/>
    <col min="37" max="37" width="14.00390625" style="0" bestFit="1" customWidth="1"/>
    <col min="38" max="39" width="12.8515625" style="0" bestFit="1" customWidth="1"/>
  </cols>
  <sheetData>
    <row r="1" spans="1:35" ht="12.75">
      <c r="A1" s="1"/>
      <c r="B1" s="2"/>
      <c r="C1" s="2"/>
      <c r="D1" s="3"/>
      <c r="E1" s="3"/>
      <c r="F1" s="3"/>
      <c r="G1" s="3"/>
      <c r="H1" s="3"/>
      <c r="I1" s="3"/>
      <c r="J1" s="3"/>
      <c r="K1" s="3" t="s">
        <v>0</v>
      </c>
      <c r="O1" s="4" t="s">
        <v>356</v>
      </c>
      <c r="P1" s="5"/>
      <c r="Q1" s="6"/>
      <c r="R1" s="5"/>
      <c r="S1" s="7"/>
      <c r="T1" s="7"/>
      <c r="Y1" t="s">
        <v>2</v>
      </c>
      <c r="AC1" s="8"/>
      <c r="AD1" s="8"/>
      <c r="AE1" s="8"/>
      <c r="AF1" s="8"/>
      <c r="AG1" s="8"/>
      <c r="AH1" s="8"/>
      <c r="AI1" s="3"/>
    </row>
    <row r="2" spans="1:35" ht="15">
      <c r="A2" s="4" t="s">
        <v>356</v>
      </c>
      <c r="B2" s="2"/>
      <c r="C2" s="2"/>
      <c r="D2" s="3"/>
      <c r="E2" s="3"/>
      <c r="F2" s="3"/>
      <c r="G2" s="2" t="s">
        <v>3</v>
      </c>
      <c r="H2" s="3"/>
      <c r="I2" s="3"/>
      <c r="J2" s="3"/>
      <c r="K2" s="3"/>
      <c r="O2" s="9"/>
      <c r="P2" s="5"/>
      <c r="Q2" s="6"/>
      <c r="R2" s="5"/>
      <c r="V2" s="7" t="s">
        <v>4</v>
      </c>
      <c r="AC2" s="10"/>
      <c r="AD2" s="11" t="s">
        <v>5</v>
      </c>
      <c r="AE2" s="12"/>
      <c r="AF2" s="13" t="s">
        <v>6</v>
      </c>
      <c r="AG2" s="13"/>
      <c r="AH2" s="14"/>
      <c r="AI2" s="3"/>
    </row>
    <row r="3" spans="1:35" ht="15">
      <c r="A3" s="9"/>
      <c r="B3" s="2"/>
      <c r="C3" s="2"/>
      <c r="D3" s="3"/>
      <c r="E3" s="2" t="s">
        <v>7</v>
      </c>
      <c r="F3" s="2"/>
      <c r="G3" s="3"/>
      <c r="H3" s="3"/>
      <c r="I3" s="3"/>
      <c r="J3" s="3"/>
      <c r="K3" s="3"/>
      <c r="O3" s="3"/>
      <c r="P3" s="3" t="s">
        <v>8</v>
      </c>
      <c r="R3" s="15"/>
      <c r="S3" s="7" t="s">
        <v>9</v>
      </c>
      <c r="T3" s="7"/>
      <c r="AC3" s="16"/>
      <c r="AD3" s="4" t="s">
        <v>359</v>
      </c>
      <c r="AE3" s="17"/>
      <c r="AF3" s="18" t="s">
        <v>10</v>
      </c>
      <c r="AG3" s="19"/>
      <c r="AH3" s="20"/>
      <c r="AI3" s="3"/>
    </row>
    <row r="4" spans="1:35" ht="15">
      <c r="A4" s="3"/>
      <c r="B4" s="1" t="s">
        <v>8</v>
      </c>
      <c r="C4" s="184"/>
      <c r="D4" s="351"/>
      <c r="E4" s="184"/>
      <c r="F4" s="442"/>
      <c r="G4" s="442"/>
      <c r="H4" s="442"/>
      <c r="I4" s="442"/>
      <c r="J4" s="442"/>
      <c r="K4" s="442"/>
      <c r="O4" s="3" t="s">
        <v>11</v>
      </c>
      <c r="P4" s="3"/>
      <c r="R4" s="15"/>
      <c r="S4" s="15"/>
      <c r="T4" s="15"/>
      <c r="AC4" s="22"/>
      <c r="AD4" s="9"/>
      <c r="AE4" s="23"/>
      <c r="AF4" s="24" t="s">
        <v>12</v>
      </c>
      <c r="AG4" s="25"/>
      <c r="AH4" s="11"/>
      <c r="AI4" s="3"/>
    </row>
    <row r="5" spans="1:35" ht="15">
      <c r="A5" s="3" t="s">
        <v>11</v>
      </c>
      <c r="B5" s="3"/>
      <c r="C5" s="184"/>
      <c r="D5" s="351"/>
      <c r="E5" s="351"/>
      <c r="F5" s="442"/>
      <c r="G5" s="442"/>
      <c r="H5" s="442"/>
      <c r="I5" s="442"/>
      <c r="J5" s="442"/>
      <c r="K5" s="442"/>
      <c r="O5" s="26"/>
      <c r="P5" s="15"/>
      <c r="R5" s="15"/>
      <c r="AC5" s="22"/>
      <c r="AD5" s="25"/>
      <c r="AE5" s="27"/>
      <c r="AF5" s="27"/>
      <c r="AG5" s="27"/>
      <c r="AH5" s="28"/>
      <c r="AI5" s="29"/>
    </row>
    <row r="6" spans="1:35" ht="15">
      <c r="A6" s="1"/>
      <c r="B6" s="2"/>
      <c r="C6" s="2"/>
      <c r="D6" s="3"/>
      <c r="E6" s="3"/>
      <c r="F6" s="208"/>
      <c r="G6" s="208"/>
      <c r="H6" s="208"/>
      <c r="I6" s="208"/>
      <c r="J6" s="208"/>
      <c r="K6" s="208"/>
      <c r="O6" s="26"/>
      <c r="P6" s="15"/>
      <c r="R6" s="15"/>
      <c r="AC6" s="22"/>
      <c r="AD6" s="3"/>
      <c r="AE6" s="3" t="s">
        <v>8</v>
      </c>
      <c r="AF6" s="3"/>
      <c r="AG6" s="3"/>
      <c r="AH6" s="31"/>
      <c r="AI6" s="3"/>
    </row>
    <row r="7" spans="1:35" ht="15">
      <c r="A7" s="29"/>
      <c r="B7" s="2"/>
      <c r="C7" s="2"/>
      <c r="D7" s="32"/>
      <c r="E7" s="29" t="s">
        <v>13</v>
      </c>
      <c r="F7" s="443"/>
      <c r="G7" s="443"/>
      <c r="H7" s="443"/>
      <c r="I7" s="443"/>
      <c r="J7" s="443"/>
      <c r="K7" s="443"/>
      <c r="O7" s="26"/>
      <c r="P7" s="15"/>
      <c r="R7" s="15"/>
      <c r="AC7" s="22"/>
      <c r="AD7" s="3" t="s">
        <v>11</v>
      </c>
      <c r="AE7" s="3"/>
      <c r="AF7" s="3"/>
      <c r="AG7" s="3"/>
      <c r="AH7" s="11"/>
      <c r="AI7" s="3"/>
    </row>
    <row r="8" spans="1:35" ht="15.75">
      <c r="A8" s="1"/>
      <c r="B8" s="2"/>
      <c r="C8" s="2"/>
      <c r="D8" s="3"/>
      <c r="E8" s="7" t="s">
        <v>321</v>
      </c>
      <c r="F8" s="438"/>
      <c r="G8" s="171" t="s">
        <v>346</v>
      </c>
      <c r="H8" s="197"/>
      <c r="I8" s="197"/>
      <c r="J8" s="197"/>
      <c r="K8" s="197"/>
      <c r="O8" s="26"/>
      <c r="P8" s="15"/>
      <c r="R8" s="15"/>
      <c r="S8" s="33" t="s">
        <v>14</v>
      </c>
      <c r="T8" s="33"/>
      <c r="AC8" s="22"/>
      <c r="AD8" s="34"/>
      <c r="AE8" s="8"/>
      <c r="AF8" s="35"/>
      <c r="AG8" s="25"/>
      <c r="AH8" s="11"/>
      <c r="AI8" s="2"/>
    </row>
    <row r="9" spans="1:35" ht="16.5" thickBot="1">
      <c r="A9" s="356"/>
      <c r="B9" s="2"/>
      <c r="C9" s="2"/>
      <c r="D9" s="3"/>
      <c r="E9" s="30"/>
      <c r="F9" s="30"/>
      <c r="G9" s="3"/>
      <c r="H9" s="3"/>
      <c r="I9" s="3"/>
      <c r="J9" s="3"/>
      <c r="K9" s="3" t="s">
        <v>15</v>
      </c>
      <c r="O9" s="26"/>
      <c r="P9" s="15"/>
      <c r="R9" s="15"/>
      <c r="S9" s="15" t="s">
        <v>357</v>
      </c>
      <c r="T9" s="15"/>
      <c r="AC9" s="36"/>
      <c r="AD9" s="34"/>
      <c r="AE9" s="37"/>
      <c r="AF9" s="38"/>
      <c r="AG9" s="38"/>
      <c r="AH9" s="25"/>
      <c r="AI9" s="3"/>
    </row>
    <row r="10" spans="1:38" ht="26.25" thickBot="1">
      <c r="A10" s="357" t="s">
        <v>17</v>
      </c>
      <c r="B10" s="358" t="s">
        <v>18</v>
      </c>
      <c r="C10" s="358" t="s">
        <v>19</v>
      </c>
      <c r="D10" s="358" t="s">
        <v>20</v>
      </c>
      <c r="E10" s="358" t="s">
        <v>21</v>
      </c>
      <c r="F10" s="39" t="s">
        <v>22</v>
      </c>
      <c r="G10" s="39" t="s">
        <v>23</v>
      </c>
      <c r="H10" s="358" t="s">
        <v>24</v>
      </c>
      <c r="I10" s="358" t="s">
        <v>25</v>
      </c>
      <c r="J10" s="444" t="s">
        <v>26</v>
      </c>
      <c r="K10" s="368" t="s">
        <v>27</v>
      </c>
      <c r="M10" s="40"/>
      <c r="O10" s="26"/>
      <c r="P10" s="15"/>
      <c r="R10" s="15"/>
      <c r="Y10" t="s">
        <v>15</v>
      </c>
      <c r="AC10" s="36"/>
      <c r="AD10" s="25"/>
      <c r="AE10" s="38"/>
      <c r="AF10" s="38"/>
      <c r="AG10" s="38"/>
      <c r="AH10" s="25"/>
      <c r="AI10" s="3"/>
      <c r="AK10" s="41"/>
      <c r="AL10" s="41"/>
    </row>
    <row r="11" spans="1:38" ht="39" thickBot="1">
      <c r="A11" s="362" t="s">
        <v>28</v>
      </c>
      <c r="B11" s="363" t="s">
        <v>29</v>
      </c>
      <c r="C11" s="363" t="s">
        <v>30</v>
      </c>
      <c r="D11" s="363" t="s">
        <v>31</v>
      </c>
      <c r="E11" s="363" t="s">
        <v>32</v>
      </c>
      <c r="F11" s="363"/>
      <c r="G11" s="445">
        <v>1</v>
      </c>
      <c r="H11" s="363">
        <v>2</v>
      </c>
      <c r="I11" s="363">
        <v>3</v>
      </c>
      <c r="J11" s="446">
        <v>4</v>
      </c>
      <c r="K11" s="368">
        <v>5</v>
      </c>
      <c r="L11" s="123"/>
      <c r="M11" s="441">
        <f>K23+19.34</f>
        <v>29176.64</v>
      </c>
      <c r="O11" s="42" t="s">
        <v>33</v>
      </c>
      <c r="P11" s="43" t="s">
        <v>18</v>
      </c>
      <c r="Q11" s="44" t="s">
        <v>19</v>
      </c>
      <c r="R11" s="43" t="s">
        <v>20</v>
      </c>
      <c r="S11" s="45" t="s">
        <v>21</v>
      </c>
      <c r="T11" s="39" t="s">
        <v>22</v>
      </c>
      <c r="U11" s="46" t="s">
        <v>23</v>
      </c>
      <c r="V11" s="45" t="s">
        <v>24</v>
      </c>
      <c r="W11" s="47" t="s">
        <v>25</v>
      </c>
      <c r="X11" s="45" t="s">
        <v>26</v>
      </c>
      <c r="Y11" s="48" t="s">
        <v>27</v>
      </c>
      <c r="AC11" s="36"/>
      <c r="AD11" s="8"/>
      <c r="AE11" s="8"/>
      <c r="AF11" s="8"/>
      <c r="AG11" s="8"/>
      <c r="AH11" s="8"/>
      <c r="AI11" s="3"/>
      <c r="AK11" s="41"/>
      <c r="AL11" s="41"/>
    </row>
    <row r="12" spans="1:38" ht="16.5" thickBot="1">
      <c r="A12" s="367">
        <v>1</v>
      </c>
      <c r="B12" s="368"/>
      <c r="C12" s="368"/>
      <c r="D12" s="369"/>
      <c r="E12" s="370" t="s">
        <v>34</v>
      </c>
      <c r="F12" s="49">
        <f>F13+F35+F40</f>
        <v>30250</v>
      </c>
      <c r="G12" s="50">
        <f aca="true" t="shared" si="0" ref="G12:G60">H12+I12+J12+K12</f>
        <v>99383.06999999999</v>
      </c>
      <c r="H12" s="49">
        <f>H13+H35+H40</f>
        <v>6874</v>
      </c>
      <c r="I12" s="49">
        <f>I13+I35+I40</f>
        <v>5609.3</v>
      </c>
      <c r="J12" s="209">
        <f>J13+J35+J40</f>
        <v>45023.71</v>
      </c>
      <c r="K12" s="49">
        <f>K13+K35+K40</f>
        <v>41876.06</v>
      </c>
      <c r="L12" s="218"/>
      <c r="M12" s="51"/>
      <c r="O12" s="52" t="s">
        <v>28</v>
      </c>
      <c r="P12" s="53" t="s">
        <v>29</v>
      </c>
      <c r="Q12" s="54" t="s">
        <v>30</v>
      </c>
      <c r="R12" s="53" t="s">
        <v>31</v>
      </c>
      <c r="S12" s="54" t="s">
        <v>32</v>
      </c>
      <c r="T12" s="54"/>
      <c r="U12" s="53">
        <v>1</v>
      </c>
      <c r="V12" s="54">
        <v>2</v>
      </c>
      <c r="W12" s="53">
        <v>3</v>
      </c>
      <c r="X12" s="54">
        <v>4</v>
      </c>
      <c r="Y12" s="55">
        <v>5</v>
      </c>
      <c r="AC12" s="36"/>
      <c r="AD12" s="8"/>
      <c r="AE12" s="34" t="s">
        <v>35</v>
      </c>
      <c r="AF12" s="8"/>
      <c r="AG12" s="8"/>
      <c r="AH12" s="8"/>
      <c r="AI12" s="3"/>
      <c r="AK12" s="41"/>
      <c r="AL12" s="41"/>
    </row>
    <row r="13" spans="1:38" ht="15.75">
      <c r="A13" s="367">
        <f aca="true" t="shared" si="1" ref="A13:A60">A12+1</f>
        <v>2</v>
      </c>
      <c r="B13" s="368"/>
      <c r="C13" s="368"/>
      <c r="D13" s="369"/>
      <c r="E13" s="370" t="s">
        <v>36</v>
      </c>
      <c r="F13" s="49">
        <f>F14</f>
        <v>0</v>
      </c>
      <c r="G13" s="50">
        <f t="shared" si="0"/>
        <v>55210.899999999994</v>
      </c>
      <c r="H13" s="49">
        <f>H14</f>
        <v>0</v>
      </c>
      <c r="I13" s="49">
        <f>I14</f>
        <v>0</v>
      </c>
      <c r="J13" s="209">
        <f>J14</f>
        <v>25314.839999999997</v>
      </c>
      <c r="K13" s="49">
        <f>K14</f>
        <v>29896.059999999998</v>
      </c>
      <c r="L13" s="218"/>
      <c r="M13" s="21">
        <f>K20-9.77</f>
        <v>637.63</v>
      </c>
      <c r="O13" s="56">
        <v>1</v>
      </c>
      <c r="P13" s="57"/>
      <c r="Q13" s="58"/>
      <c r="R13" s="57"/>
      <c r="S13" s="59" t="s">
        <v>37</v>
      </c>
      <c r="T13" s="60">
        <f>SUM(T14:T18)</f>
        <v>0</v>
      </c>
      <c r="U13" s="60">
        <f aca="true" t="shared" si="2" ref="U13:U18">V13+W13+X13+Y13</f>
        <v>103.52000000000001</v>
      </c>
      <c r="V13" s="60">
        <f>V14+V15+V16+V17+V18</f>
        <v>0</v>
      </c>
      <c r="W13" s="60">
        <f>W14+W15+W16+W17+W18</f>
        <v>0</v>
      </c>
      <c r="X13" s="60">
        <f>X14+X15+X16+X17+X18</f>
        <v>53.52</v>
      </c>
      <c r="Y13" s="61">
        <f>Y14+Y15+Y16+Y17+Y18</f>
        <v>50</v>
      </c>
      <c r="AC13" s="36"/>
      <c r="AD13" s="8"/>
      <c r="AE13" s="37" t="s">
        <v>38</v>
      </c>
      <c r="AF13" s="8"/>
      <c r="AG13" s="8"/>
      <c r="AH13" s="8"/>
      <c r="AI13" s="3"/>
      <c r="AK13" s="41"/>
      <c r="AL13" s="41"/>
    </row>
    <row r="14" spans="1:38" ht="12.75">
      <c r="A14" s="367">
        <f t="shared" si="1"/>
        <v>3</v>
      </c>
      <c r="B14" s="368"/>
      <c r="C14" s="368"/>
      <c r="D14" s="369"/>
      <c r="E14" s="59" t="s">
        <v>39</v>
      </c>
      <c r="F14" s="49">
        <f>F15+F18</f>
        <v>0</v>
      </c>
      <c r="G14" s="50">
        <f>H14+I14+J14+K14</f>
        <v>55210.899999999994</v>
      </c>
      <c r="H14" s="49">
        <f>H15+H18</f>
        <v>0</v>
      </c>
      <c r="I14" s="49">
        <f>I15+I18</f>
        <v>0</v>
      </c>
      <c r="J14" s="209">
        <f>J15+J18</f>
        <v>25314.839999999997</v>
      </c>
      <c r="K14" s="49">
        <f>K15+K18</f>
        <v>29896.059999999998</v>
      </c>
      <c r="L14" s="218"/>
      <c r="O14" s="62">
        <v>2</v>
      </c>
      <c r="P14" s="63" t="s">
        <v>40</v>
      </c>
      <c r="Q14" s="64" t="s">
        <v>41</v>
      </c>
      <c r="R14" s="65"/>
      <c r="S14" s="66" t="s">
        <v>42</v>
      </c>
      <c r="T14" s="67"/>
      <c r="U14" s="68">
        <f t="shared" si="2"/>
        <v>103.52000000000001</v>
      </c>
      <c r="V14" s="69"/>
      <c r="W14" s="69"/>
      <c r="X14" s="69">
        <v>53.52</v>
      </c>
      <c r="Y14" s="69">
        <v>50</v>
      </c>
      <c r="AC14" s="36"/>
      <c r="AD14" s="8"/>
      <c r="AE14" s="7" t="s">
        <v>360</v>
      </c>
      <c r="AF14" s="8"/>
      <c r="AG14" s="8"/>
      <c r="AH14" s="8"/>
      <c r="AI14" s="70"/>
      <c r="AK14" s="41"/>
      <c r="AL14" s="41"/>
    </row>
    <row r="15" spans="1:38" ht="12.75">
      <c r="A15" s="367">
        <f t="shared" si="1"/>
        <v>4</v>
      </c>
      <c r="B15" s="372" t="s">
        <v>44</v>
      </c>
      <c r="C15" s="368"/>
      <c r="D15" s="369"/>
      <c r="E15" s="59" t="s">
        <v>45</v>
      </c>
      <c r="F15" s="49">
        <f>F16+F17</f>
        <v>0</v>
      </c>
      <c r="G15" s="50">
        <f t="shared" si="0"/>
        <v>139.44</v>
      </c>
      <c r="H15" s="49">
        <f>H16+H17</f>
        <v>0</v>
      </c>
      <c r="I15" s="49">
        <f>I16+I17</f>
        <v>0</v>
      </c>
      <c r="J15" s="209">
        <f>J16+J17</f>
        <v>56.52</v>
      </c>
      <c r="K15" s="49">
        <f>K16+K17</f>
        <v>82.92</v>
      </c>
      <c r="L15" s="218"/>
      <c r="O15" s="71">
        <v>3</v>
      </c>
      <c r="P15" s="72" t="s">
        <v>46</v>
      </c>
      <c r="Q15" s="73" t="s">
        <v>47</v>
      </c>
      <c r="R15" s="74"/>
      <c r="S15" s="75" t="s">
        <v>48</v>
      </c>
      <c r="T15" s="67"/>
      <c r="U15" s="68">
        <f t="shared" si="2"/>
        <v>0</v>
      </c>
      <c r="V15" s="76">
        <v>0</v>
      </c>
      <c r="W15" s="76"/>
      <c r="X15" s="76">
        <v>0</v>
      </c>
      <c r="Y15" s="77"/>
      <c r="AC15" s="36"/>
      <c r="AD15" s="8"/>
      <c r="AE15" s="8"/>
      <c r="AF15" s="8"/>
      <c r="AG15" s="8"/>
      <c r="AH15" s="8"/>
      <c r="AI15" s="70"/>
      <c r="AK15" s="41"/>
      <c r="AL15" s="41"/>
    </row>
    <row r="16" spans="1:38" ht="12.75">
      <c r="A16" s="367">
        <f t="shared" si="1"/>
        <v>5</v>
      </c>
      <c r="B16" s="368"/>
      <c r="C16" s="373" t="s">
        <v>41</v>
      </c>
      <c r="D16" s="374"/>
      <c r="E16" s="78" t="s">
        <v>49</v>
      </c>
      <c r="F16" s="375"/>
      <c r="G16" s="79">
        <f t="shared" si="0"/>
        <v>139.44</v>
      </c>
      <c r="H16" s="375"/>
      <c r="I16" s="375">
        <v>0</v>
      </c>
      <c r="J16" s="447">
        <f>50+3.52+3</f>
        <v>56.52</v>
      </c>
      <c r="K16" s="375">
        <v>82.92</v>
      </c>
      <c r="L16" s="218">
        <v>139.44</v>
      </c>
      <c r="M16" s="21">
        <f>L16-G16</f>
        <v>0</v>
      </c>
      <c r="N16" s="21">
        <f>K16+M16</f>
        <v>82.92</v>
      </c>
      <c r="O16" s="62">
        <v>4</v>
      </c>
      <c r="P16" s="63" t="s">
        <v>50</v>
      </c>
      <c r="Q16" s="80">
        <v>50</v>
      </c>
      <c r="R16" s="65"/>
      <c r="S16" s="75" t="s">
        <v>51</v>
      </c>
      <c r="T16" s="67"/>
      <c r="U16" s="68"/>
      <c r="V16" s="76"/>
      <c r="W16" s="76"/>
      <c r="X16" s="76"/>
      <c r="Y16" s="77"/>
      <c r="AC16" s="36"/>
      <c r="AD16" s="8"/>
      <c r="AE16" s="8"/>
      <c r="AF16" s="8"/>
      <c r="AG16" s="8"/>
      <c r="AH16" s="8"/>
      <c r="AI16" s="70"/>
      <c r="AK16" s="41"/>
      <c r="AL16" s="41"/>
    </row>
    <row r="17" spans="1:39" ht="15">
      <c r="A17" s="367">
        <f>A16+1</f>
        <v>6</v>
      </c>
      <c r="B17" s="368"/>
      <c r="C17" s="374">
        <v>50</v>
      </c>
      <c r="D17" s="374"/>
      <c r="E17" s="78" t="s">
        <v>52</v>
      </c>
      <c r="F17" s="375"/>
      <c r="G17" s="79">
        <f t="shared" si="0"/>
        <v>0</v>
      </c>
      <c r="H17" s="375"/>
      <c r="I17" s="375"/>
      <c r="J17" s="447">
        <v>0</v>
      </c>
      <c r="K17" s="375">
        <v>0</v>
      </c>
      <c r="L17" s="218">
        <v>0</v>
      </c>
      <c r="M17" s="21">
        <f aca="true" t="shared" si="3" ref="M17:M60">L17-G17</f>
        <v>0</v>
      </c>
      <c r="N17" s="21">
        <f aca="true" t="shared" si="4" ref="N17:N60">K17+M17</f>
        <v>0</v>
      </c>
      <c r="O17" s="71">
        <v>5</v>
      </c>
      <c r="P17" s="65"/>
      <c r="Q17" s="80"/>
      <c r="R17" s="65"/>
      <c r="S17" s="81" t="s">
        <v>53</v>
      </c>
      <c r="T17" s="82"/>
      <c r="U17" s="68">
        <f t="shared" si="2"/>
        <v>0</v>
      </c>
      <c r="V17" s="76"/>
      <c r="W17" s="76"/>
      <c r="X17" s="76"/>
      <c r="Y17" s="77"/>
      <c r="AC17" s="36"/>
      <c r="AD17" s="11"/>
      <c r="AE17" s="35" t="s">
        <v>54</v>
      </c>
      <c r="AF17" s="38"/>
      <c r="AG17" s="38"/>
      <c r="AH17" s="25"/>
      <c r="AI17" s="70"/>
      <c r="AK17" s="83"/>
      <c r="AL17" s="41"/>
      <c r="AM17" s="83"/>
    </row>
    <row r="18" spans="1:38" ht="13.5" thickBot="1">
      <c r="A18" s="367">
        <f t="shared" si="1"/>
        <v>7</v>
      </c>
      <c r="B18" s="368"/>
      <c r="C18" s="368"/>
      <c r="D18" s="369"/>
      <c r="E18" s="59" t="s">
        <v>55</v>
      </c>
      <c r="F18" s="49">
        <f>F19+F31</f>
        <v>0</v>
      </c>
      <c r="G18" s="50">
        <f t="shared" si="0"/>
        <v>55071.45999999999</v>
      </c>
      <c r="H18" s="49">
        <f>H19+H31</f>
        <v>0</v>
      </c>
      <c r="I18" s="49">
        <f>I19+I31</f>
        <v>0</v>
      </c>
      <c r="J18" s="209">
        <f>J19+J31</f>
        <v>25258.319999999996</v>
      </c>
      <c r="K18" s="49">
        <f>K19+K31</f>
        <v>29813.14</v>
      </c>
      <c r="L18" s="218">
        <v>55061.89</v>
      </c>
      <c r="M18" s="21">
        <f t="shared" si="3"/>
        <v>-9.569999999992433</v>
      </c>
      <c r="N18" s="21">
        <f t="shared" si="4"/>
        <v>29803.570000000007</v>
      </c>
      <c r="O18" s="62">
        <v>6</v>
      </c>
      <c r="P18" s="74"/>
      <c r="Q18" s="84"/>
      <c r="R18" s="74"/>
      <c r="S18" s="75" t="s">
        <v>56</v>
      </c>
      <c r="T18" s="67"/>
      <c r="U18" s="68">
        <f t="shared" si="2"/>
        <v>0</v>
      </c>
      <c r="V18" s="76"/>
      <c r="W18" s="76"/>
      <c r="X18" s="76"/>
      <c r="Y18" s="77"/>
      <c r="AC18" s="36"/>
      <c r="AD18" s="25"/>
      <c r="AE18" s="38"/>
      <c r="AF18" s="38"/>
      <c r="AG18" s="38"/>
      <c r="AH18" s="25"/>
      <c r="AI18" s="70"/>
      <c r="AL18" s="41"/>
    </row>
    <row r="19" spans="1:38" ht="12.75">
      <c r="A19" s="367">
        <f t="shared" si="1"/>
        <v>8</v>
      </c>
      <c r="B19" s="372" t="s">
        <v>57</v>
      </c>
      <c r="C19" s="368"/>
      <c r="D19" s="369"/>
      <c r="E19" s="85" t="s">
        <v>58</v>
      </c>
      <c r="F19" s="49">
        <f>F20+F21+F22+F23+F30</f>
        <v>0</v>
      </c>
      <c r="G19" s="50">
        <f t="shared" si="0"/>
        <v>55071.45999999999</v>
      </c>
      <c r="H19" s="49">
        <f>H20+H21+H22+H24+H25+H26+H23+H30</f>
        <v>0</v>
      </c>
      <c r="I19" s="49">
        <f>I20+I21+I22+I24+I25+I26+I23+I30</f>
        <v>0</v>
      </c>
      <c r="J19" s="209">
        <f>J20+J21+J22+J24+J25+J26+J23+J30</f>
        <v>25258.319999999996</v>
      </c>
      <c r="K19" s="49">
        <f>K20+K21+K22+K24+K25+K26+K23+K30</f>
        <v>29813.14</v>
      </c>
      <c r="L19" s="218">
        <v>55061.89</v>
      </c>
      <c r="M19" s="21">
        <f t="shared" si="3"/>
        <v>-9.569999999992433</v>
      </c>
      <c r="N19" s="21">
        <f t="shared" si="4"/>
        <v>29803.570000000007</v>
      </c>
      <c r="O19" s="71">
        <v>7</v>
      </c>
      <c r="P19" s="86" t="s">
        <v>59</v>
      </c>
      <c r="Q19" s="87" t="s">
        <v>60</v>
      </c>
      <c r="R19" s="86" t="s">
        <v>61</v>
      </c>
      <c r="S19" s="88" t="s">
        <v>21</v>
      </c>
      <c r="T19" s="88"/>
      <c r="U19" s="59"/>
      <c r="V19" s="88"/>
      <c r="W19" s="59"/>
      <c r="X19" s="88"/>
      <c r="Y19" s="89"/>
      <c r="AC19" s="36"/>
      <c r="AD19" s="90" t="s">
        <v>62</v>
      </c>
      <c r="AE19" s="91" t="s">
        <v>63</v>
      </c>
      <c r="AF19" s="91" t="s">
        <v>64</v>
      </c>
      <c r="AG19" s="38"/>
      <c r="AH19" s="25"/>
      <c r="AI19" s="70"/>
      <c r="AL19" s="83"/>
    </row>
    <row r="20" spans="1:37" ht="12.75">
      <c r="A20" s="367">
        <f t="shared" si="1"/>
        <v>9</v>
      </c>
      <c r="B20" s="368"/>
      <c r="C20" s="373" t="s">
        <v>65</v>
      </c>
      <c r="D20" s="369"/>
      <c r="E20" s="66" t="s">
        <v>66</v>
      </c>
      <c r="F20" s="375"/>
      <c r="G20" s="79">
        <f t="shared" si="0"/>
        <v>861.6999999999999</v>
      </c>
      <c r="H20" s="375"/>
      <c r="I20" s="375"/>
      <c r="J20" s="447">
        <f>594.3-380</f>
        <v>214.29999999999995</v>
      </c>
      <c r="K20" s="375">
        <f>637.63+9.77</f>
        <v>647.4</v>
      </c>
      <c r="L20" s="218">
        <v>871.47</v>
      </c>
      <c r="M20" s="21">
        <f t="shared" si="3"/>
        <v>9.770000000000095</v>
      </c>
      <c r="N20" s="21">
        <f t="shared" si="4"/>
        <v>657.1700000000001</v>
      </c>
      <c r="O20" s="62">
        <v>8</v>
      </c>
      <c r="P20" s="86"/>
      <c r="Q20" s="87"/>
      <c r="R20" s="86"/>
      <c r="S20" s="92" t="s">
        <v>67</v>
      </c>
      <c r="T20" s="93">
        <f aca="true" t="shared" si="5" ref="T20:Y22">T21</f>
        <v>0</v>
      </c>
      <c r="U20" s="60">
        <f aca="true" t="shared" si="6" ref="U20:U27">V20+W20+X20+Y20</f>
        <v>103.52000000000001</v>
      </c>
      <c r="V20" s="93">
        <f t="shared" si="5"/>
        <v>0</v>
      </c>
      <c r="W20" s="93">
        <f t="shared" si="5"/>
        <v>0</v>
      </c>
      <c r="X20" s="93">
        <f t="shared" si="5"/>
        <v>53.52</v>
      </c>
      <c r="Y20" s="94">
        <f t="shared" si="5"/>
        <v>50</v>
      </c>
      <c r="AC20" s="36"/>
      <c r="AD20" s="95" t="s">
        <v>68</v>
      </c>
      <c r="AE20" s="96"/>
      <c r="AF20" s="96" t="s">
        <v>69</v>
      </c>
      <c r="AG20" s="38"/>
      <c r="AH20" s="25"/>
      <c r="AI20" s="70"/>
      <c r="AK20" s="41"/>
    </row>
    <row r="21" spans="1:37" ht="25.5">
      <c r="A21" s="367">
        <f t="shared" si="1"/>
        <v>10</v>
      </c>
      <c r="B21" s="368"/>
      <c r="C21" s="374">
        <v>16</v>
      </c>
      <c r="D21" s="369"/>
      <c r="E21" s="97" t="s">
        <v>70</v>
      </c>
      <c r="F21" s="375"/>
      <c r="G21" s="79">
        <f t="shared" si="0"/>
        <v>2.9699999999999998</v>
      </c>
      <c r="H21" s="375"/>
      <c r="I21" s="375"/>
      <c r="J21" s="447">
        <v>2</v>
      </c>
      <c r="K21" s="375">
        <v>0.97</v>
      </c>
      <c r="L21" s="218">
        <v>2.97</v>
      </c>
      <c r="M21" s="21">
        <f t="shared" si="3"/>
        <v>0</v>
      </c>
      <c r="N21" s="21">
        <f t="shared" si="4"/>
        <v>0.97</v>
      </c>
      <c r="O21" s="62">
        <v>9</v>
      </c>
      <c r="P21" s="98">
        <v>70</v>
      </c>
      <c r="Q21" s="99"/>
      <c r="R21" s="98"/>
      <c r="S21" s="59" t="s">
        <v>71</v>
      </c>
      <c r="T21" s="60">
        <f t="shared" si="5"/>
        <v>0</v>
      </c>
      <c r="U21" s="60">
        <f t="shared" si="6"/>
        <v>103.52000000000001</v>
      </c>
      <c r="V21" s="60">
        <f t="shared" si="5"/>
        <v>0</v>
      </c>
      <c r="W21" s="60">
        <f t="shared" si="5"/>
        <v>0</v>
      </c>
      <c r="X21" s="60">
        <f t="shared" si="5"/>
        <v>53.52</v>
      </c>
      <c r="Y21" s="61">
        <f t="shared" si="5"/>
        <v>50</v>
      </c>
      <c r="AC21" s="36"/>
      <c r="AD21" s="100">
        <v>1</v>
      </c>
      <c r="AE21" s="101" t="s">
        <v>72</v>
      </c>
      <c r="AF21" s="200">
        <f>SUM(AF22+AF26)</f>
        <v>2870</v>
      </c>
      <c r="AG21" s="38"/>
      <c r="AH21" s="25"/>
      <c r="AI21" s="70"/>
      <c r="AK21" s="41"/>
    </row>
    <row r="22" spans="1:37" ht="12.75">
      <c r="A22" s="367">
        <f t="shared" si="1"/>
        <v>11</v>
      </c>
      <c r="B22" s="368"/>
      <c r="C22" s="374">
        <v>20</v>
      </c>
      <c r="D22" s="369"/>
      <c r="E22" s="66" t="s">
        <v>73</v>
      </c>
      <c r="F22" s="375"/>
      <c r="G22" s="79">
        <f t="shared" si="0"/>
        <v>-227.3</v>
      </c>
      <c r="H22" s="375"/>
      <c r="I22" s="375"/>
      <c r="J22" s="447">
        <v>-227.3</v>
      </c>
      <c r="K22" s="375">
        <v>0</v>
      </c>
      <c r="L22" s="218">
        <v>-227.3</v>
      </c>
      <c r="M22" s="21">
        <f t="shared" si="3"/>
        <v>0</v>
      </c>
      <c r="N22" s="21">
        <f t="shared" si="4"/>
        <v>0</v>
      </c>
      <c r="O22" s="62">
        <f aca="true" t="shared" si="7" ref="O22:O27">O21+1</f>
        <v>10</v>
      </c>
      <c r="P22" s="86">
        <v>71</v>
      </c>
      <c r="Q22" s="87"/>
      <c r="R22" s="86"/>
      <c r="S22" s="59" t="s">
        <v>74</v>
      </c>
      <c r="T22" s="60">
        <f t="shared" si="5"/>
        <v>0</v>
      </c>
      <c r="U22" s="60">
        <f t="shared" si="6"/>
        <v>103.52000000000001</v>
      </c>
      <c r="V22" s="60">
        <f t="shared" si="5"/>
        <v>0</v>
      </c>
      <c r="W22" s="60">
        <f t="shared" si="5"/>
        <v>0</v>
      </c>
      <c r="X22" s="60">
        <f t="shared" si="5"/>
        <v>53.52</v>
      </c>
      <c r="Y22" s="61">
        <f t="shared" si="5"/>
        <v>50</v>
      </c>
      <c r="AC22" s="36"/>
      <c r="AD22" s="100">
        <v>2</v>
      </c>
      <c r="AE22" s="102" t="s">
        <v>75</v>
      </c>
      <c r="AF22" s="200">
        <f>SUM(AF23:AF25)</f>
        <v>2198</v>
      </c>
      <c r="AG22" s="38"/>
      <c r="AH22" s="25"/>
      <c r="AI22" s="70"/>
      <c r="AK22" s="41"/>
    </row>
    <row r="23" spans="1:37" ht="12.75">
      <c r="A23" s="367">
        <f t="shared" si="1"/>
        <v>12</v>
      </c>
      <c r="B23" s="368"/>
      <c r="C23" s="374">
        <v>21</v>
      </c>
      <c r="D23" s="369"/>
      <c r="E23" s="66" t="s">
        <v>76</v>
      </c>
      <c r="F23" s="375"/>
      <c r="G23" s="79">
        <f t="shared" si="0"/>
        <v>54422.45</v>
      </c>
      <c r="H23" s="375">
        <v>0</v>
      </c>
      <c r="I23" s="375">
        <v>0</v>
      </c>
      <c r="J23" s="447">
        <f>24389.74-7963-4464+2331.55+1682.47+8570.16+190.93+527.3</f>
        <v>25265.149999999998</v>
      </c>
      <c r="K23" s="375">
        <v>29157.3</v>
      </c>
      <c r="L23" s="218">
        <v>54403.11</v>
      </c>
      <c r="M23" s="21">
        <f t="shared" si="3"/>
        <v>-19.339999999996508</v>
      </c>
      <c r="N23" s="21">
        <f t="shared" si="4"/>
        <v>29137.960000000003</v>
      </c>
      <c r="O23" s="62">
        <f t="shared" si="7"/>
        <v>11</v>
      </c>
      <c r="P23" s="86">
        <v>71</v>
      </c>
      <c r="Q23" s="64" t="s">
        <v>47</v>
      </c>
      <c r="R23" s="65"/>
      <c r="S23" s="59" t="s">
        <v>77</v>
      </c>
      <c r="T23" s="60">
        <f>SUM(T24:T26)</f>
        <v>0</v>
      </c>
      <c r="U23" s="60">
        <f t="shared" si="6"/>
        <v>103.52000000000001</v>
      </c>
      <c r="V23" s="60">
        <f>SUM(V24:V26)</f>
        <v>0</v>
      </c>
      <c r="W23" s="60">
        <f>SUM(W24:W26)</f>
        <v>0</v>
      </c>
      <c r="X23" s="60">
        <f>SUM(X24:X26)</f>
        <v>53.52</v>
      </c>
      <c r="Y23" s="61">
        <f>SUM(Y24:Y26)</f>
        <v>50</v>
      </c>
      <c r="AC23" s="36"/>
      <c r="AD23" s="100">
        <v>2.1</v>
      </c>
      <c r="AE23" s="101" t="s">
        <v>78</v>
      </c>
      <c r="AF23" s="201">
        <v>1105.5</v>
      </c>
      <c r="AG23" s="38"/>
      <c r="AH23" s="25"/>
      <c r="AI23" s="70"/>
      <c r="AK23" s="41"/>
    </row>
    <row r="24" spans="1:37" ht="25.5">
      <c r="A24" s="367">
        <f t="shared" si="1"/>
        <v>13</v>
      </c>
      <c r="B24" s="368"/>
      <c r="C24" s="374">
        <v>30</v>
      </c>
      <c r="D24" s="369"/>
      <c r="E24" s="97" t="s">
        <v>79</v>
      </c>
      <c r="F24" s="376"/>
      <c r="G24" s="79">
        <f t="shared" si="0"/>
        <v>0</v>
      </c>
      <c r="H24" s="375"/>
      <c r="I24" s="375"/>
      <c r="J24" s="447"/>
      <c r="K24" s="375">
        <v>0</v>
      </c>
      <c r="L24" s="218">
        <v>0</v>
      </c>
      <c r="M24" s="21">
        <f t="shared" si="3"/>
        <v>0</v>
      </c>
      <c r="N24" s="21">
        <f t="shared" si="4"/>
        <v>0</v>
      </c>
      <c r="O24" s="62">
        <f t="shared" si="7"/>
        <v>12</v>
      </c>
      <c r="P24" s="74"/>
      <c r="Q24" s="84"/>
      <c r="R24" s="72" t="s">
        <v>80</v>
      </c>
      <c r="S24" s="66" t="s">
        <v>81</v>
      </c>
      <c r="T24" s="67"/>
      <c r="U24" s="68">
        <f t="shared" si="6"/>
        <v>103.52000000000001</v>
      </c>
      <c r="V24" s="69"/>
      <c r="W24" s="69"/>
      <c r="X24" s="69">
        <v>53.52</v>
      </c>
      <c r="Y24" s="69">
        <v>50</v>
      </c>
      <c r="AC24" s="36"/>
      <c r="AD24" s="104">
        <v>2.2</v>
      </c>
      <c r="AE24" s="105" t="s">
        <v>82</v>
      </c>
      <c r="AF24" s="203">
        <v>69.5</v>
      </c>
      <c r="AG24" s="38"/>
      <c r="AH24" s="25"/>
      <c r="AI24" s="70"/>
      <c r="AK24" s="41"/>
    </row>
    <row r="25" spans="1:37" ht="25.5">
      <c r="A25" s="367">
        <f t="shared" si="1"/>
        <v>14</v>
      </c>
      <c r="B25" s="368"/>
      <c r="C25" s="374">
        <v>31</v>
      </c>
      <c r="D25" s="369"/>
      <c r="E25" s="97" t="s">
        <v>83</v>
      </c>
      <c r="F25" s="375"/>
      <c r="G25" s="79">
        <f t="shared" si="0"/>
        <v>0</v>
      </c>
      <c r="H25" s="375"/>
      <c r="I25" s="375"/>
      <c r="J25" s="447"/>
      <c r="K25" s="375">
        <v>0</v>
      </c>
      <c r="L25" s="218">
        <v>0</v>
      </c>
      <c r="M25" s="21">
        <f t="shared" si="3"/>
        <v>0</v>
      </c>
      <c r="N25" s="21">
        <f t="shared" si="4"/>
        <v>0</v>
      </c>
      <c r="O25" s="62">
        <f t="shared" si="7"/>
        <v>13</v>
      </c>
      <c r="P25" s="65"/>
      <c r="Q25" s="80"/>
      <c r="R25" s="63" t="s">
        <v>84</v>
      </c>
      <c r="S25" s="66" t="s">
        <v>85</v>
      </c>
      <c r="T25" s="67"/>
      <c r="U25" s="68">
        <f t="shared" si="6"/>
        <v>0</v>
      </c>
      <c r="V25" s="69"/>
      <c r="W25" s="69"/>
      <c r="X25" s="69"/>
      <c r="Y25" s="69"/>
      <c r="AC25" s="36"/>
      <c r="AD25" s="106">
        <v>2.3</v>
      </c>
      <c r="AE25" s="107" t="s">
        <v>86</v>
      </c>
      <c r="AF25" s="108">
        <v>1023</v>
      </c>
      <c r="AG25" s="38"/>
      <c r="AH25" s="25"/>
      <c r="AI25" s="70"/>
      <c r="AK25" s="41"/>
    </row>
    <row r="26" spans="1:37" ht="25.5">
      <c r="A26" s="367">
        <f t="shared" si="1"/>
        <v>15</v>
      </c>
      <c r="B26" s="368"/>
      <c r="C26" s="374">
        <v>32</v>
      </c>
      <c r="D26" s="369"/>
      <c r="E26" s="97" t="s">
        <v>87</v>
      </c>
      <c r="F26" s="375"/>
      <c r="G26" s="79">
        <f t="shared" si="0"/>
        <v>0</v>
      </c>
      <c r="H26" s="109">
        <f>H27+H28+H29</f>
        <v>0</v>
      </c>
      <c r="I26" s="109">
        <f>I27+I28+I29</f>
        <v>0</v>
      </c>
      <c r="J26" s="211">
        <f>J27+J28+J29</f>
        <v>0</v>
      </c>
      <c r="K26" s="109">
        <v>0</v>
      </c>
      <c r="L26" s="218">
        <v>0</v>
      </c>
      <c r="M26" s="21">
        <f t="shared" si="3"/>
        <v>0</v>
      </c>
      <c r="N26" s="21">
        <f t="shared" si="4"/>
        <v>0</v>
      </c>
      <c r="O26" s="62">
        <f t="shared" si="7"/>
        <v>14</v>
      </c>
      <c r="P26" s="65"/>
      <c r="Q26" s="80"/>
      <c r="R26" s="65">
        <v>30</v>
      </c>
      <c r="S26" s="66" t="s">
        <v>88</v>
      </c>
      <c r="T26" s="67"/>
      <c r="U26" s="68">
        <f t="shared" si="6"/>
        <v>0</v>
      </c>
      <c r="V26" s="69"/>
      <c r="W26" s="69"/>
      <c r="X26" s="69"/>
      <c r="Y26" s="69"/>
      <c r="AC26" s="36"/>
      <c r="AD26" s="106">
        <v>3</v>
      </c>
      <c r="AE26" s="110" t="s">
        <v>89</v>
      </c>
      <c r="AF26" s="202">
        <v>672</v>
      </c>
      <c r="AG26" s="38"/>
      <c r="AH26" s="25"/>
      <c r="AI26" s="70"/>
      <c r="AK26" s="41"/>
    </row>
    <row r="27" spans="1:37" ht="12.75">
      <c r="A27" s="367">
        <f t="shared" si="1"/>
        <v>16</v>
      </c>
      <c r="B27" s="368"/>
      <c r="C27" s="374"/>
      <c r="D27" s="369"/>
      <c r="E27" s="66" t="s">
        <v>90</v>
      </c>
      <c r="F27" s="375"/>
      <c r="G27" s="79">
        <f t="shared" si="0"/>
        <v>0</v>
      </c>
      <c r="H27" s="375"/>
      <c r="I27" s="375"/>
      <c r="J27" s="447"/>
      <c r="K27" s="375">
        <v>0</v>
      </c>
      <c r="L27" s="218">
        <v>0</v>
      </c>
      <c r="M27" s="21">
        <f t="shared" si="3"/>
        <v>0</v>
      </c>
      <c r="N27" s="21">
        <f t="shared" si="4"/>
        <v>0</v>
      </c>
      <c r="O27" s="62">
        <f t="shared" si="7"/>
        <v>15</v>
      </c>
      <c r="P27" s="65"/>
      <c r="Q27" s="111"/>
      <c r="R27" s="65"/>
      <c r="S27" s="112" t="s">
        <v>91</v>
      </c>
      <c r="T27" s="113"/>
      <c r="U27" s="68">
        <f t="shared" si="6"/>
        <v>108.97</v>
      </c>
      <c r="V27" s="68"/>
      <c r="W27" s="114">
        <v>108.97</v>
      </c>
      <c r="X27" s="115">
        <v>0</v>
      </c>
      <c r="Y27" s="111">
        <v>0</v>
      </c>
      <c r="AC27" s="36"/>
      <c r="AD27" s="106">
        <v>4</v>
      </c>
      <c r="AE27" s="116" t="s">
        <v>92</v>
      </c>
      <c r="AF27" s="202">
        <v>2253</v>
      </c>
      <c r="AG27" s="38"/>
      <c r="AH27" s="25"/>
      <c r="AI27" s="70"/>
      <c r="AK27" s="41"/>
    </row>
    <row r="28" spans="1:37" ht="12.75">
      <c r="A28" s="367">
        <f t="shared" si="1"/>
        <v>17</v>
      </c>
      <c r="B28" s="368"/>
      <c r="C28" s="374"/>
      <c r="D28" s="369"/>
      <c r="E28" s="66" t="s">
        <v>93</v>
      </c>
      <c r="F28" s="375"/>
      <c r="G28" s="79">
        <f t="shared" si="0"/>
        <v>0</v>
      </c>
      <c r="H28" s="375"/>
      <c r="I28" s="375"/>
      <c r="J28" s="447"/>
      <c r="K28" s="375">
        <v>0</v>
      </c>
      <c r="L28" s="218">
        <v>0</v>
      </c>
      <c r="M28" s="21">
        <f t="shared" si="3"/>
        <v>0</v>
      </c>
      <c r="N28" s="21">
        <f t="shared" si="4"/>
        <v>0</v>
      </c>
      <c r="O28" s="117"/>
      <c r="P28" s="99"/>
      <c r="Q28" s="73"/>
      <c r="R28" s="84"/>
      <c r="S28" s="118"/>
      <c r="T28" s="118"/>
      <c r="U28" s="119"/>
      <c r="V28" s="119"/>
      <c r="W28" s="119"/>
      <c r="X28" s="119"/>
      <c r="Y28" s="119"/>
      <c r="AC28" s="36"/>
      <c r="AD28" s="120"/>
      <c r="AE28" s="121"/>
      <c r="AF28" s="122"/>
      <c r="AG28" s="38"/>
      <c r="AH28" s="25"/>
      <c r="AI28" s="70"/>
      <c r="AK28" s="41"/>
    </row>
    <row r="29" spans="1:37" ht="12.75">
      <c r="A29" s="367">
        <f t="shared" si="1"/>
        <v>18</v>
      </c>
      <c r="B29" s="368"/>
      <c r="C29" s="374"/>
      <c r="D29" s="369"/>
      <c r="E29" s="66" t="s">
        <v>94</v>
      </c>
      <c r="F29" s="375"/>
      <c r="G29" s="79">
        <f t="shared" si="0"/>
        <v>0</v>
      </c>
      <c r="H29" s="375"/>
      <c r="I29" s="375"/>
      <c r="J29" s="447"/>
      <c r="K29" s="375">
        <v>0</v>
      </c>
      <c r="L29" s="218">
        <v>0</v>
      </c>
      <c r="M29" s="21">
        <f t="shared" si="3"/>
        <v>0</v>
      </c>
      <c r="N29" s="21">
        <f t="shared" si="4"/>
        <v>0</v>
      </c>
      <c r="O29" s="117"/>
      <c r="P29" s="99"/>
      <c r="Q29" s="73"/>
      <c r="R29" s="84"/>
      <c r="S29" s="118"/>
      <c r="T29" s="118"/>
      <c r="U29" s="119"/>
      <c r="V29" s="119"/>
      <c r="W29" s="119"/>
      <c r="X29" s="119"/>
      <c r="Y29" s="119"/>
      <c r="AC29" s="36"/>
      <c r="AD29" s="120"/>
      <c r="AE29" s="121"/>
      <c r="AF29" s="122"/>
      <c r="AG29" s="38"/>
      <c r="AH29" s="25"/>
      <c r="AI29" s="70"/>
      <c r="AK29" s="41"/>
    </row>
    <row r="30" spans="1:37" ht="15">
      <c r="A30" s="367">
        <f t="shared" si="1"/>
        <v>19</v>
      </c>
      <c r="B30" s="368"/>
      <c r="C30" s="374">
        <v>50</v>
      </c>
      <c r="D30" s="369"/>
      <c r="E30" s="66" t="s">
        <v>95</v>
      </c>
      <c r="F30" s="375"/>
      <c r="G30" s="79">
        <f t="shared" si="0"/>
        <v>11.64</v>
      </c>
      <c r="H30" s="375"/>
      <c r="I30" s="375"/>
      <c r="J30" s="447">
        <v>4.17</v>
      </c>
      <c r="K30" s="375">
        <v>7.47</v>
      </c>
      <c r="L30" s="218">
        <v>11.64</v>
      </c>
      <c r="M30" s="21">
        <f t="shared" si="3"/>
        <v>0</v>
      </c>
      <c r="N30" s="21">
        <f t="shared" si="4"/>
        <v>7.47</v>
      </c>
      <c r="O30" s="11" t="s">
        <v>98</v>
      </c>
      <c r="P30" s="70"/>
      <c r="R30" s="70"/>
      <c r="S30" s="70"/>
      <c r="T30" s="70"/>
      <c r="V30" s="35" t="s">
        <v>99</v>
      </c>
      <c r="Y30" s="123"/>
      <c r="AC30" s="36"/>
      <c r="AD30" s="120"/>
      <c r="AE30" s="121"/>
      <c r="AF30" s="122"/>
      <c r="AG30" s="38"/>
      <c r="AH30" s="25"/>
      <c r="AI30" s="70"/>
      <c r="AK30" s="41"/>
    </row>
    <row r="31" spans="1:39" ht="14.25">
      <c r="A31" s="367">
        <f t="shared" si="1"/>
        <v>20</v>
      </c>
      <c r="B31" s="377" t="s">
        <v>46</v>
      </c>
      <c r="C31" s="368"/>
      <c r="D31" s="369"/>
      <c r="E31" s="85" t="s">
        <v>96</v>
      </c>
      <c r="F31" s="49">
        <f>+F32+F33+F34</f>
        <v>0</v>
      </c>
      <c r="G31" s="50">
        <f t="shared" si="0"/>
        <v>0</v>
      </c>
      <c r="H31" s="49">
        <f>+H32+H33+H34</f>
        <v>0</v>
      </c>
      <c r="I31" s="49">
        <f>+I32+I33+I34</f>
        <v>0</v>
      </c>
      <c r="J31" s="209">
        <f>+J32+J33+J34</f>
        <v>0</v>
      </c>
      <c r="K31" s="49">
        <f>+K32+K33+K34</f>
        <v>0</v>
      </c>
      <c r="L31" s="218">
        <v>0</v>
      </c>
      <c r="M31" s="21">
        <f t="shared" si="3"/>
        <v>0</v>
      </c>
      <c r="N31" s="21">
        <f t="shared" si="4"/>
        <v>0</v>
      </c>
      <c r="O31" t="s">
        <v>310</v>
      </c>
      <c r="U31" t="s">
        <v>311</v>
      </c>
      <c r="AC31" s="36"/>
      <c r="AD31" s="120"/>
      <c r="AE31" s="125"/>
      <c r="AF31" s="126"/>
      <c r="AG31" s="38"/>
      <c r="AH31" s="25"/>
      <c r="AI31" s="70"/>
      <c r="AK31" s="41"/>
      <c r="AM31" s="83"/>
    </row>
    <row r="32" spans="1:37" ht="15">
      <c r="A32" s="367">
        <f t="shared" si="1"/>
        <v>21</v>
      </c>
      <c r="B32" s="368"/>
      <c r="C32" s="373" t="s">
        <v>47</v>
      </c>
      <c r="D32" s="369"/>
      <c r="E32" s="66" t="s">
        <v>97</v>
      </c>
      <c r="F32" s="375"/>
      <c r="G32" s="79">
        <f t="shared" si="0"/>
        <v>0</v>
      </c>
      <c r="H32" s="375">
        <v>0</v>
      </c>
      <c r="I32" s="375"/>
      <c r="J32" s="447"/>
      <c r="K32" s="375"/>
      <c r="L32" s="218">
        <v>0</v>
      </c>
      <c r="M32" s="21">
        <f t="shared" si="3"/>
        <v>0</v>
      </c>
      <c r="N32" s="21">
        <f t="shared" si="4"/>
        <v>0</v>
      </c>
      <c r="O32" s="11"/>
      <c r="P32" s="70"/>
      <c r="R32" s="70"/>
      <c r="S32" s="70"/>
      <c r="T32" s="70"/>
      <c r="V32" s="35"/>
      <c r="AC32" s="70"/>
      <c r="AD32" s="120"/>
      <c r="AE32" s="121"/>
      <c r="AF32" s="127"/>
      <c r="AG32" s="70"/>
      <c r="AH32" s="70"/>
      <c r="AI32" s="70"/>
      <c r="AK32" s="41"/>
    </row>
    <row r="33" spans="1:37" ht="12.75">
      <c r="A33" s="367">
        <f t="shared" si="1"/>
        <v>22</v>
      </c>
      <c r="B33" s="368"/>
      <c r="C33" s="374">
        <v>50</v>
      </c>
      <c r="D33" s="369"/>
      <c r="E33" s="66" t="s">
        <v>100</v>
      </c>
      <c r="F33" s="375"/>
      <c r="G33" s="79">
        <f t="shared" si="0"/>
        <v>0</v>
      </c>
      <c r="H33" s="375">
        <v>0</v>
      </c>
      <c r="I33" s="375"/>
      <c r="J33" s="447"/>
      <c r="K33" s="375"/>
      <c r="L33" s="218">
        <v>0</v>
      </c>
      <c r="M33" s="21">
        <f t="shared" si="3"/>
        <v>0</v>
      </c>
      <c r="N33" s="21">
        <f t="shared" si="4"/>
        <v>0</v>
      </c>
      <c r="AC33" s="70"/>
      <c r="AD33" s="120"/>
      <c r="AE33" s="121"/>
      <c r="AF33" s="127"/>
      <c r="AG33" s="70"/>
      <c r="AH33" s="70"/>
      <c r="AI33" s="70"/>
      <c r="AK33" s="83"/>
    </row>
    <row r="34" spans="1:35" ht="15">
      <c r="A34" s="367">
        <f t="shared" si="1"/>
        <v>23</v>
      </c>
      <c r="B34" s="368"/>
      <c r="C34" s="368"/>
      <c r="D34" s="379" t="s">
        <v>41</v>
      </c>
      <c r="E34" s="66" t="s">
        <v>100</v>
      </c>
      <c r="F34" s="375"/>
      <c r="G34" s="79">
        <f t="shared" si="0"/>
        <v>0</v>
      </c>
      <c r="H34" s="375">
        <v>0</v>
      </c>
      <c r="I34" s="375"/>
      <c r="J34" s="447"/>
      <c r="K34" s="375"/>
      <c r="L34" s="218">
        <v>0</v>
      </c>
      <c r="M34" s="21">
        <f t="shared" si="3"/>
        <v>0</v>
      </c>
      <c r="N34" s="21">
        <f t="shared" si="4"/>
        <v>0</v>
      </c>
      <c r="O34" s="26"/>
      <c r="P34" s="15"/>
      <c r="R34" s="15"/>
      <c r="X34" t="s">
        <v>358</v>
      </c>
      <c r="AC34" s="70"/>
      <c r="AD34" s="11" t="s">
        <v>101</v>
      </c>
      <c r="AE34" s="70"/>
      <c r="AF34" s="35" t="s">
        <v>99</v>
      </c>
      <c r="AG34" s="70"/>
      <c r="AH34" s="70"/>
      <c r="AI34" s="70"/>
    </row>
    <row r="35" spans="1:38" ht="12.75">
      <c r="A35" s="367">
        <f t="shared" si="1"/>
        <v>24</v>
      </c>
      <c r="B35" s="368"/>
      <c r="C35" s="368"/>
      <c r="D35" s="369"/>
      <c r="E35" s="85" t="s">
        <v>102</v>
      </c>
      <c r="F35" s="49">
        <f>+F36</f>
        <v>0</v>
      </c>
      <c r="G35" s="50">
        <f t="shared" si="0"/>
        <v>0</v>
      </c>
      <c r="H35" s="49">
        <f>+H36</f>
        <v>0</v>
      </c>
      <c r="I35" s="49">
        <f>+I36</f>
        <v>0</v>
      </c>
      <c r="J35" s="209">
        <f>+J36</f>
        <v>0</v>
      </c>
      <c r="K35" s="49">
        <f>+K36</f>
        <v>0</v>
      </c>
      <c r="L35" s="218">
        <v>0</v>
      </c>
      <c r="M35" s="21">
        <f t="shared" si="3"/>
        <v>0</v>
      </c>
      <c r="N35" s="21">
        <f t="shared" si="4"/>
        <v>0</v>
      </c>
      <c r="O35" s="26"/>
      <c r="P35" s="15"/>
      <c r="R35" s="15"/>
      <c r="U35" s="128"/>
      <c r="X35" s="128" t="s">
        <v>313</v>
      </c>
      <c r="AC35" s="70"/>
      <c r="AD35" s="70"/>
      <c r="AE35" s="70"/>
      <c r="AF35" s="129" t="s">
        <v>103</v>
      </c>
      <c r="AG35" s="70"/>
      <c r="AH35" s="70"/>
      <c r="AI35" s="70"/>
      <c r="AK35" s="41"/>
      <c r="AL35" s="83"/>
    </row>
    <row r="36" spans="1:37" ht="12.75">
      <c r="A36" s="367">
        <f t="shared" si="1"/>
        <v>25</v>
      </c>
      <c r="B36" s="368">
        <v>39.1</v>
      </c>
      <c r="C36" s="368"/>
      <c r="D36" s="369"/>
      <c r="E36" s="85" t="s">
        <v>104</v>
      </c>
      <c r="F36" s="49">
        <f>+F37+F38+F39</f>
        <v>0</v>
      </c>
      <c r="G36" s="50">
        <f t="shared" si="0"/>
        <v>0</v>
      </c>
      <c r="H36" s="49">
        <f>+H37+H38+H39</f>
        <v>0</v>
      </c>
      <c r="I36" s="49">
        <f>+I37+I38+I39</f>
        <v>0</v>
      </c>
      <c r="J36" s="209">
        <f>+J37+J38+J39</f>
        <v>0</v>
      </c>
      <c r="K36" s="49">
        <f>+K37+K38+K39</f>
        <v>0</v>
      </c>
      <c r="L36" s="218">
        <v>0</v>
      </c>
      <c r="M36" s="21">
        <f t="shared" si="3"/>
        <v>0</v>
      </c>
      <c r="N36" s="21">
        <f t="shared" si="4"/>
        <v>0</v>
      </c>
      <c r="O36" s="15" t="s">
        <v>105</v>
      </c>
      <c r="P36" t="s">
        <v>106</v>
      </c>
      <c r="Q36" s="15"/>
      <c r="AC36" s="70"/>
      <c r="AD36" s="70"/>
      <c r="AE36" s="70"/>
      <c r="AF36" s="70"/>
      <c r="AG36" s="70"/>
      <c r="AH36" s="70"/>
      <c r="AI36" s="70"/>
      <c r="AK36" s="41"/>
    </row>
    <row r="37" spans="1:38" ht="12.75">
      <c r="A37" s="367">
        <f t="shared" si="1"/>
        <v>26</v>
      </c>
      <c r="B37" s="368"/>
      <c r="C37" s="373" t="s">
        <v>47</v>
      </c>
      <c r="D37" s="369"/>
      <c r="E37" s="66" t="s">
        <v>107</v>
      </c>
      <c r="F37" s="375"/>
      <c r="G37" s="79">
        <f t="shared" si="0"/>
        <v>0</v>
      </c>
      <c r="H37" s="375"/>
      <c r="I37" s="375"/>
      <c r="J37" s="447"/>
      <c r="K37" s="375"/>
      <c r="L37" s="218">
        <v>0</v>
      </c>
      <c r="M37" s="21">
        <f t="shared" si="3"/>
        <v>0</v>
      </c>
      <c r="N37" s="21">
        <f t="shared" si="4"/>
        <v>0</v>
      </c>
      <c r="O37" s="26"/>
      <c r="P37" s="15"/>
      <c r="R37" s="15"/>
      <c r="AC37" s="70"/>
      <c r="AD37" s="70"/>
      <c r="AE37" s="70"/>
      <c r="AF37" s="70"/>
      <c r="AG37" s="70"/>
      <c r="AH37" s="70"/>
      <c r="AI37" s="70"/>
      <c r="AK37" s="41"/>
      <c r="AL37" s="83"/>
    </row>
    <row r="38" spans="1:38" ht="12.75">
      <c r="A38" s="367">
        <f t="shared" si="1"/>
        <v>27</v>
      </c>
      <c r="B38" s="368"/>
      <c r="C38" s="373" t="s">
        <v>108</v>
      </c>
      <c r="D38" s="369"/>
      <c r="E38" s="66" t="s">
        <v>109</v>
      </c>
      <c r="F38" s="375"/>
      <c r="G38" s="79">
        <f t="shared" si="0"/>
        <v>0</v>
      </c>
      <c r="H38" s="375"/>
      <c r="I38" s="375"/>
      <c r="J38" s="447"/>
      <c r="K38" s="375"/>
      <c r="L38" s="218">
        <v>0</v>
      </c>
      <c r="M38" s="21">
        <f t="shared" si="3"/>
        <v>0</v>
      </c>
      <c r="N38" s="21">
        <f t="shared" si="4"/>
        <v>0</v>
      </c>
      <c r="O38" s="26"/>
      <c r="P38" s="15"/>
      <c r="AC38" s="70"/>
      <c r="AD38" s="70"/>
      <c r="AE38" s="70"/>
      <c r="AF38" s="70"/>
      <c r="AG38" s="70"/>
      <c r="AH38" s="70"/>
      <c r="AI38" s="70"/>
      <c r="AK38" s="41"/>
      <c r="AL38" s="83"/>
    </row>
    <row r="39" spans="1:38" ht="12.75">
      <c r="A39" s="367">
        <f t="shared" si="1"/>
        <v>28</v>
      </c>
      <c r="B39" s="368"/>
      <c r="C39" s="374">
        <v>50</v>
      </c>
      <c r="D39" s="369"/>
      <c r="E39" s="66" t="s">
        <v>110</v>
      </c>
      <c r="F39" s="375"/>
      <c r="G39" s="79">
        <f t="shared" si="0"/>
        <v>0</v>
      </c>
      <c r="H39" s="375"/>
      <c r="I39" s="375"/>
      <c r="J39" s="447"/>
      <c r="K39" s="375"/>
      <c r="L39" s="218">
        <v>0</v>
      </c>
      <c r="M39" s="21">
        <f t="shared" si="3"/>
        <v>0</v>
      </c>
      <c r="N39" s="21">
        <f t="shared" si="4"/>
        <v>0</v>
      </c>
      <c r="O39" s="26"/>
      <c r="P39" s="15"/>
      <c r="AC39" s="70"/>
      <c r="AI39" s="70"/>
      <c r="AK39" s="41"/>
      <c r="AL39" s="83"/>
    </row>
    <row r="40" spans="1:38" ht="15">
      <c r="A40" s="367">
        <f t="shared" si="1"/>
        <v>29</v>
      </c>
      <c r="B40" s="368"/>
      <c r="C40" s="368"/>
      <c r="D40" s="369"/>
      <c r="E40" s="85" t="s">
        <v>111</v>
      </c>
      <c r="F40" s="49">
        <f>+F41+F49+F60</f>
        <v>30250</v>
      </c>
      <c r="G40" s="50">
        <f t="shared" si="0"/>
        <v>44172.17</v>
      </c>
      <c r="H40" s="49">
        <f>+H41+H49+H60</f>
        <v>6874</v>
      </c>
      <c r="I40" s="49">
        <f>+I41+I49+I60</f>
        <v>5609.3</v>
      </c>
      <c r="J40" s="209">
        <f>+J41+J49+J60</f>
        <v>19708.870000000003</v>
      </c>
      <c r="K40" s="49">
        <f>+K41+K49+K60</f>
        <v>11980</v>
      </c>
      <c r="L40" s="218">
        <v>44172.17</v>
      </c>
      <c r="M40" s="21">
        <f t="shared" si="3"/>
        <v>0</v>
      </c>
      <c r="N40" s="21">
        <f t="shared" si="4"/>
        <v>11980</v>
      </c>
      <c r="O40" s="26"/>
      <c r="P40" s="15"/>
      <c r="R40" s="11"/>
      <c r="S40" s="70"/>
      <c r="T40" s="70"/>
      <c r="U40" s="35"/>
      <c r="V40" s="70"/>
      <c r="AC40" s="70"/>
      <c r="AI40" s="70"/>
      <c r="AK40" s="41"/>
      <c r="AL40" s="83"/>
    </row>
    <row r="41" spans="1:38" ht="12.75">
      <c r="A41" s="367">
        <f t="shared" si="1"/>
        <v>30</v>
      </c>
      <c r="B41" s="377" t="s">
        <v>112</v>
      </c>
      <c r="C41" s="368"/>
      <c r="D41" s="369"/>
      <c r="E41" s="85" t="s">
        <v>113</v>
      </c>
      <c r="F41" s="49">
        <f>F42</f>
        <v>0</v>
      </c>
      <c r="G41" s="50">
        <f t="shared" si="0"/>
        <v>12592</v>
      </c>
      <c r="H41" s="49">
        <f>H42</f>
        <v>0</v>
      </c>
      <c r="I41" s="49">
        <f>I42</f>
        <v>229</v>
      </c>
      <c r="J41" s="209">
        <f>J42</f>
        <v>4016</v>
      </c>
      <c r="K41" s="49">
        <f>K42</f>
        <v>8347</v>
      </c>
      <c r="L41" s="218">
        <v>12592</v>
      </c>
      <c r="M41" s="21">
        <f t="shared" si="3"/>
        <v>0</v>
      </c>
      <c r="N41" s="21">
        <f t="shared" si="4"/>
        <v>8347</v>
      </c>
      <c r="O41" s="26"/>
      <c r="P41" s="15"/>
      <c r="R41" s="130"/>
      <c r="S41" s="70"/>
      <c r="T41" s="70"/>
      <c r="U41" s="131"/>
      <c r="AC41" s="70"/>
      <c r="AD41" s="70"/>
      <c r="AE41" s="70"/>
      <c r="AF41" s="70"/>
      <c r="AG41" s="70"/>
      <c r="AH41" s="70"/>
      <c r="AI41" s="70"/>
      <c r="AK41" s="41"/>
      <c r="AL41" s="83"/>
    </row>
    <row r="42" spans="1:39" ht="12.75">
      <c r="A42" s="367">
        <f t="shared" si="1"/>
        <v>31</v>
      </c>
      <c r="B42" s="368"/>
      <c r="C42" s="374">
        <v>11</v>
      </c>
      <c r="D42" s="369"/>
      <c r="E42" s="66" t="s">
        <v>114</v>
      </c>
      <c r="F42" s="49">
        <f>F43+F44+F45+F46+F47+F48</f>
        <v>0</v>
      </c>
      <c r="G42" s="50">
        <f t="shared" si="0"/>
        <v>12592</v>
      </c>
      <c r="H42" s="49">
        <f>H43+H44+H45+H46+H47+H48</f>
        <v>0</v>
      </c>
      <c r="I42" s="49">
        <f>I43+I44+I45+I46+I47+I48</f>
        <v>229</v>
      </c>
      <c r="J42" s="209">
        <f>J43+J44+J45+J46+J47+J48</f>
        <v>4016</v>
      </c>
      <c r="K42" s="49">
        <f>K43+K44+K45+K46+K47+K48</f>
        <v>8347</v>
      </c>
      <c r="L42" s="218">
        <v>12592</v>
      </c>
      <c r="M42" s="21">
        <f t="shared" si="3"/>
        <v>0</v>
      </c>
      <c r="N42" s="21">
        <f t="shared" si="4"/>
        <v>8347</v>
      </c>
      <c r="S42" s="132"/>
      <c r="T42" s="132"/>
      <c r="U42" s="133"/>
      <c r="V42" s="133"/>
      <c r="W42" s="133"/>
      <c r="X42" s="133"/>
      <c r="Y42" s="133"/>
      <c r="AK42" s="134"/>
      <c r="AL42" s="83"/>
      <c r="AM42" s="83"/>
    </row>
    <row r="43" spans="1:38" ht="12.75">
      <c r="A43" s="367">
        <f t="shared" si="1"/>
        <v>32</v>
      </c>
      <c r="B43" s="368"/>
      <c r="C43" s="368"/>
      <c r="D43" s="369"/>
      <c r="E43" s="66" t="s">
        <v>115</v>
      </c>
      <c r="F43" s="375"/>
      <c r="G43" s="79">
        <f t="shared" si="0"/>
        <v>544</v>
      </c>
      <c r="H43" s="375">
        <v>0</v>
      </c>
      <c r="I43" s="375">
        <v>229</v>
      </c>
      <c r="J43" s="447">
        <v>130</v>
      </c>
      <c r="K43" s="375">
        <v>185</v>
      </c>
      <c r="L43" s="218">
        <v>544</v>
      </c>
      <c r="M43" s="21">
        <f t="shared" si="3"/>
        <v>0</v>
      </c>
      <c r="N43" s="21">
        <f t="shared" si="4"/>
        <v>185</v>
      </c>
      <c r="S43" s="135"/>
      <c r="T43" s="135"/>
      <c r="U43" s="133"/>
      <c r="V43" s="133"/>
      <c r="W43" s="133"/>
      <c r="X43" s="133"/>
      <c r="Y43" s="133"/>
      <c r="AL43" s="83"/>
    </row>
    <row r="44" spans="1:38" ht="12.75">
      <c r="A44" s="367">
        <f t="shared" si="1"/>
        <v>33</v>
      </c>
      <c r="B44" s="368"/>
      <c r="C44" s="368"/>
      <c r="D44" s="369"/>
      <c r="E44" s="66" t="s">
        <v>116</v>
      </c>
      <c r="F44" s="375"/>
      <c r="G44" s="79">
        <f t="shared" si="0"/>
        <v>0</v>
      </c>
      <c r="H44" s="375"/>
      <c r="I44" s="375"/>
      <c r="J44" s="447"/>
      <c r="K44" s="375"/>
      <c r="L44" s="218">
        <v>0</v>
      </c>
      <c r="M44" s="21">
        <f t="shared" si="3"/>
        <v>0</v>
      </c>
      <c r="N44" s="21">
        <f t="shared" si="4"/>
        <v>0</v>
      </c>
      <c r="S44" s="135"/>
      <c r="T44" s="135"/>
      <c r="U44" s="133"/>
      <c r="V44" s="133"/>
      <c r="W44" s="133"/>
      <c r="X44" s="133"/>
      <c r="Y44" s="133"/>
      <c r="AK44" s="41"/>
      <c r="AL44" s="83"/>
    </row>
    <row r="45" spans="1:38" ht="12.75">
      <c r="A45" s="367">
        <f t="shared" si="1"/>
        <v>34</v>
      </c>
      <c r="B45" s="368"/>
      <c r="C45" s="368"/>
      <c r="D45" s="369"/>
      <c r="E45" s="66" t="s">
        <v>117</v>
      </c>
      <c r="F45" s="375"/>
      <c r="G45" s="79">
        <f t="shared" si="0"/>
        <v>1092</v>
      </c>
      <c r="H45" s="375"/>
      <c r="I45" s="375"/>
      <c r="J45" s="447">
        <v>1092</v>
      </c>
      <c r="K45" s="375"/>
      <c r="L45" s="218">
        <v>1092</v>
      </c>
      <c r="M45" s="21">
        <f t="shared" si="3"/>
        <v>0</v>
      </c>
      <c r="N45" s="21">
        <f t="shared" si="4"/>
        <v>0</v>
      </c>
      <c r="S45" s="135"/>
      <c r="T45" s="135"/>
      <c r="U45" s="133"/>
      <c r="V45" s="133"/>
      <c r="W45" s="133"/>
      <c r="X45" s="133"/>
      <c r="Y45" s="133"/>
      <c r="AK45" s="41"/>
      <c r="AL45" s="83"/>
    </row>
    <row r="46" spans="1:37" ht="12.75">
      <c r="A46" s="367">
        <f t="shared" si="1"/>
        <v>35</v>
      </c>
      <c r="B46" s="368"/>
      <c r="C46" s="368"/>
      <c r="D46" s="369"/>
      <c r="E46" s="66" t="s">
        <v>118</v>
      </c>
      <c r="F46" s="375"/>
      <c r="G46" s="79">
        <f t="shared" si="0"/>
        <v>9057</v>
      </c>
      <c r="H46" s="375">
        <v>0</v>
      </c>
      <c r="I46" s="375">
        <v>0</v>
      </c>
      <c r="J46" s="447">
        <v>2494</v>
      </c>
      <c r="K46" s="375">
        <v>6563</v>
      </c>
      <c r="L46" s="218">
        <v>9057</v>
      </c>
      <c r="M46" s="21">
        <f t="shared" si="3"/>
        <v>0</v>
      </c>
      <c r="N46" s="21">
        <f t="shared" si="4"/>
        <v>6563</v>
      </c>
      <c r="S46" s="21"/>
      <c r="T46" s="21"/>
      <c r="AK46" s="41"/>
    </row>
    <row r="47" spans="1:37" ht="12.75">
      <c r="A47" s="367">
        <f t="shared" si="1"/>
        <v>36</v>
      </c>
      <c r="B47" s="368"/>
      <c r="C47" s="368"/>
      <c r="D47" s="369"/>
      <c r="E47" s="66" t="s">
        <v>119</v>
      </c>
      <c r="F47" s="375"/>
      <c r="G47" s="79">
        <f t="shared" si="0"/>
        <v>1899</v>
      </c>
      <c r="H47" s="375">
        <v>0</v>
      </c>
      <c r="I47" s="375">
        <v>0</v>
      </c>
      <c r="J47" s="447">
        <v>300</v>
      </c>
      <c r="K47" s="375">
        <v>1599</v>
      </c>
      <c r="L47" s="218">
        <v>1899</v>
      </c>
      <c r="M47" s="21">
        <f t="shared" si="3"/>
        <v>0</v>
      </c>
      <c r="N47" s="21">
        <f t="shared" si="4"/>
        <v>1599</v>
      </c>
      <c r="AK47" s="41"/>
    </row>
    <row r="48" spans="1:37" ht="15.75">
      <c r="A48" s="367">
        <f t="shared" si="1"/>
        <v>37</v>
      </c>
      <c r="B48" s="368"/>
      <c r="C48" s="368"/>
      <c r="D48" s="369"/>
      <c r="E48" s="66" t="s">
        <v>120</v>
      </c>
      <c r="F48" s="375"/>
      <c r="G48" s="79">
        <f t="shared" si="0"/>
        <v>0</v>
      </c>
      <c r="H48" s="375"/>
      <c r="I48" s="375"/>
      <c r="J48" s="447"/>
      <c r="K48" s="375"/>
      <c r="L48" s="218">
        <v>0</v>
      </c>
      <c r="M48" s="21">
        <f t="shared" si="3"/>
        <v>0</v>
      </c>
      <c r="N48" s="21">
        <f t="shared" si="4"/>
        <v>0</v>
      </c>
      <c r="P48" s="9"/>
      <c r="R48" s="136"/>
      <c r="AK48" s="41"/>
    </row>
    <row r="49" spans="1:37" ht="15.75">
      <c r="A49" s="367">
        <f t="shared" si="1"/>
        <v>38</v>
      </c>
      <c r="B49" s="380" t="s">
        <v>121</v>
      </c>
      <c r="C49" s="381"/>
      <c r="D49" s="382"/>
      <c r="E49" s="448" t="s">
        <v>122</v>
      </c>
      <c r="F49" s="137">
        <f>F50+F56</f>
        <v>0</v>
      </c>
      <c r="G49" s="50">
        <f t="shared" si="0"/>
        <v>20513.64</v>
      </c>
      <c r="H49" s="137">
        <f>H50+H56</f>
        <v>6874</v>
      </c>
      <c r="I49" s="137">
        <f>I50+I56</f>
        <v>5380.3</v>
      </c>
      <c r="J49" s="213">
        <f>J50+J56</f>
        <v>5176.34</v>
      </c>
      <c r="K49" s="137">
        <f>K50+K56</f>
        <v>3083</v>
      </c>
      <c r="L49" s="218">
        <v>20513.64</v>
      </c>
      <c r="M49" s="21">
        <f t="shared" si="3"/>
        <v>0</v>
      </c>
      <c r="N49" s="21">
        <f t="shared" si="4"/>
        <v>3083</v>
      </c>
      <c r="R49" s="136"/>
      <c r="AK49" s="41"/>
    </row>
    <row r="50" spans="1:37" ht="51">
      <c r="A50" s="367">
        <f t="shared" si="1"/>
        <v>39</v>
      </c>
      <c r="B50" s="381"/>
      <c r="C50" s="385">
        <v>9</v>
      </c>
      <c r="D50" s="386"/>
      <c r="E50" s="138" t="s">
        <v>123</v>
      </c>
      <c r="F50" s="137">
        <f>+F51+F53+F55</f>
        <v>0</v>
      </c>
      <c r="G50" s="50">
        <f t="shared" si="0"/>
        <v>15828</v>
      </c>
      <c r="H50" s="137">
        <f>+H51+H53+H55+H54+H52</f>
        <v>6874</v>
      </c>
      <c r="I50" s="137">
        <f>+I51+I53+I55+I54+I52</f>
        <v>3444</v>
      </c>
      <c r="J50" s="213">
        <f>+J51+J53+J55+J54+J52</f>
        <v>3348</v>
      </c>
      <c r="K50" s="137">
        <f>+K51+K53+K55+K54+K52</f>
        <v>2162</v>
      </c>
      <c r="L50" s="218">
        <v>15828</v>
      </c>
      <c r="M50" s="21">
        <f t="shared" si="3"/>
        <v>0</v>
      </c>
      <c r="N50" s="21">
        <f t="shared" si="4"/>
        <v>2162</v>
      </c>
      <c r="P50" s="4" t="s">
        <v>1</v>
      </c>
      <c r="R50" s="7"/>
      <c r="S50" s="139"/>
      <c r="T50" s="140" t="s">
        <v>124</v>
      </c>
      <c r="AK50" s="134"/>
    </row>
    <row r="51" spans="1:17" ht="12.75">
      <c r="A51" s="367">
        <f t="shared" si="1"/>
        <v>40</v>
      </c>
      <c r="B51" s="381"/>
      <c r="C51" s="388"/>
      <c r="D51" s="389"/>
      <c r="E51" s="75" t="s">
        <v>125</v>
      </c>
      <c r="F51" s="375"/>
      <c r="G51" s="79">
        <f t="shared" si="0"/>
        <v>0</v>
      </c>
      <c r="H51" s="375"/>
      <c r="I51" s="375"/>
      <c r="J51" s="447"/>
      <c r="K51" s="375"/>
      <c r="L51" s="218">
        <v>0</v>
      </c>
      <c r="M51" s="21">
        <f t="shared" si="3"/>
        <v>0</v>
      </c>
      <c r="N51" s="21">
        <f t="shared" si="4"/>
        <v>0</v>
      </c>
      <c r="O51" s="142"/>
      <c r="P51" s="142"/>
      <c r="Q51" s="142"/>
    </row>
    <row r="52" spans="1:17" ht="12.75">
      <c r="A52" s="367"/>
      <c r="B52" s="381"/>
      <c r="C52" s="388"/>
      <c r="D52" s="389"/>
      <c r="E52" s="66" t="s">
        <v>118</v>
      </c>
      <c r="F52" s="375"/>
      <c r="G52" s="79">
        <f t="shared" si="0"/>
        <v>1414</v>
      </c>
      <c r="H52" s="375">
        <v>508</v>
      </c>
      <c r="I52" s="375"/>
      <c r="J52" s="447">
        <v>662</v>
      </c>
      <c r="K52" s="375">
        <v>244</v>
      </c>
      <c r="L52" s="218">
        <v>1414</v>
      </c>
      <c r="M52" s="21">
        <f t="shared" si="3"/>
        <v>0</v>
      </c>
      <c r="N52" s="21">
        <f t="shared" si="4"/>
        <v>244</v>
      </c>
      <c r="O52" s="142"/>
      <c r="P52" s="142"/>
      <c r="Q52" s="142"/>
    </row>
    <row r="53" spans="1:39" ht="12.75">
      <c r="A53" s="367">
        <f>A51+1</f>
        <v>41</v>
      </c>
      <c r="B53" s="390"/>
      <c r="C53" s="391"/>
      <c r="D53" s="392"/>
      <c r="E53" s="143" t="s">
        <v>126</v>
      </c>
      <c r="F53" s="375"/>
      <c r="G53" s="109">
        <f t="shared" si="0"/>
        <v>12543</v>
      </c>
      <c r="H53" s="375">
        <v>5754</v>
      </c>
      <c r="I53" s="375">
        <v>2883</v>
      </c>
      <c r="J53" s="447">
        <v>2610</v>
      </c>
      <c r="K53" s="375">
        <v>1296</v>
      </c>
      <c r="L53" s="218">
        <v>12543</v>
      </c>
      <c r="M53" s="21">
        <f t="shared" si="3"/>
        <v>0</v>
      </c>
      <c r="N53" s="21">
        <f t="shared" si="4"/>
        <v>1296</v>
      </c>
      <c r="O53" s="141"/>
      <c r="P53" s="141"/>
      <c r="Q53" s="141"/>
      <c r="R53" s="21">
        <f>L52+L55</f>
        <v>3285</v>
      </c>
      <c r="AM53" s="83"/>
    </row>
    <row r="54" spans="1:39" ht="12.75">
      <c r="A54" s="367"/>
      <c r="B54" s="390"/>
      <c r="C54" s="391"/>
      <c r="D54" s="392"/>
      <c r="E54" s="143" t="s">
        <v>116</v>
      </c>
      <c r="F54" s="375"/>
      <c r="G54" s="109">
        <f t="shared" si="0"/>
        <v>0</v>
      </c>
      <c r="H54" s="375"/>
      <c r="I54" s="375"/>
      <c r="J54" s="447"/>
      <c r="K54" s="375"/>
      <c r="L54" s="218">
        <v>0</v>
      </c>
      <c r="M54" s="21">
        <f t="shared" si="3"/>
        <v>0</v>
      </c>
      <c r="N54" s="21">
        <f t="shared" si="4"/>
        <v>0</v>
      </c>
      <c r="O54" s="142"/>
      <c r="P54" s="142"/>
      <c r="Q54" s="142"/>
      <c r="AM54" s="83"/>
    </row>
    <row r="55" spans="1:17" ht="12.75">
      <c r="A55" s="367">
        <f>A53+1</f>
        <v>42</v>
      </c>
      <c r="B55" s="381"/>
      <c r="C55" s="388"/>
      <c r="D55" s="389"/>
      <c r="E55" s="75" t="s">
        <v>115</v>
      </c>
      <c r="F55" s="375"/>
      <c r="G55" s="79">
        <f t="shared" si="0"/>
        <v>1871</v>
      </c>
      <c r="H55" s="375">
        <v>612</v>
      </c>
      <c r="I55" s="375">
        <v>561</v>
      </c>
      <c r="J55" s="447">
        <v>76</v>
      </c>
      <c r="K55" s="375">
        <v>622</v>
      </c>
      <c r="L55" s="218">
        <v>1871</v>
      </c>
      <c r="M55" s="21">
        <f t="shared" si="3"/>
        <v>0</v>
      </c>
      <c r="N55" s="21">
        <f t="shared" si="4"/>
        <v>622</v>
      </c>
      <c r="O55" s="144"/>
      <c r="P55" s="144"/>
      <c r="Q55" s="144"/>
    </row>
    <row r="56" spans="1:38" ht="15.75">
      <c r="A56" s="367">
        <f>A55+1</f>
        <v>43</v>
      </c>
      <c r="B56" s="368"/>
      <c r="C56" s="86">
        <v>10</v>
      </c>
      <c r="D56" s="86"/>
      <c r="E56" s="59" t="s">
        <v>127</v>
      </c>
      <c r="F56" s="50">
        <f>F57+F59</f>
        <v>0</v>
      </c>
      <c r="G56" s="50">
        <f t="shared" si="0"/>
        <v>4685.64</v>
      </c>
      <c r="H56" s="50">
        <f>H57+H58+H59</f>
        <v>0</v>
      </c>
      <c r="I56" s="50">
        <f>I57+I58+I59</f>
        <v>1936.3</v>
      </c>
      <c r="J56" s="449">
        <f>J57+J58+J59</f>
        <v>1828.3400000000001</v>
      </c>
      <c r="K56" s="50">
        <f>K57+K58+K59</f>
        <v>921</v>
      </c>
      <c r="L56" s="218">
        <v>4685.64</v>
      </c>
      <c r="M56" s="21">
        <f t="shared" si="3"/>
        <v>0</v>
      </c>
      <c r="N56" s="21">
        <f t="shared" si="4"/>
        <v>921</v>
      </c>
      <c r="O56" s="142"/>
      <c r="P56" s="142"/>
      <c r="Q56" s="142"/>
      <c r="S56" s="145" t="s">
        <v>128</v>
      </c>
      <c r="T56" s="145"/>
      <c r="AL56" s="83"/>
    </row>
    <row r="57" spans="1:20" ht="15">
      <c r="A57" s="367">
        <f t="shared" si="1"/>
        <v>44</v>
      </c>
      <c r="B57" s="368"/>
      <c r="C57" s="368"/>
      <c r="D57" s="369"/>
      <c r="E57" s="66" t="s">
        <v>125</v>
      </c>
      <c r="F57" s="375"/>
      <c r="G57" s="79">
        <f t="shared" si="0"/>
        <v>4078.3</v>
      </c>
      <c r="H57" s="375"/>
      <c r="I57" s="375">
        <v>1936.3</v>
      </c>
      <c r="J57" s="447">
        <f>2800+1157.22+979.08-400-2986.3</f>
        <v>1550</v>
      </c>
      <c r="K57" s="375">
        <f>-458+1050</f>
        <v>592</v>
      </c>
      <c r="L57" s="218">
        <v>4078.3</v>
      </c>
      <c r="M57" s="21">
        <f t="shared" si="3"/>
        <v>0</v>
      </c>
      <c r="N57" s="21">
        <f t="shared" si="4"/>
        <v>592</v>
      </c>
      <c r="O57" s="146"/>
      <c r="P57" s="146"/>
      <c r="Q57" s="146"/>
      <c r="S57" s="147" t="s">
        <v>129</v>
      </c>
      <c r="T57" s="147"/>
    </row>
    <row r="58" spans="1:20" ht="15">
      <c r="A58" s="367">
        <f t="shared" si="1"/>
        <v>45</v>
      </c>
      <c r="B58" s="368"/>
      <c r="C58" s="368"/>
      <c r="D58" s="369"/>
      <c r="E58" s="143" t="s">
        <v>126</v>
      </c>
      <c r="F58" s="375"/>
      <c r="G58" s="79">
        <f t="shared" si="0"/>
        <v>0</v>
      </c>
      <c r="H58" s="375"/>
      <c r="I58" s="375"/>
      <c r="J58" s="447"/>
      <c r="K58" s="375"/>
      <c r="L58" s="218">
        <v>0</v>
      </c>
      <c r="M58" s="21">
        <f t="shared" si="3"/>
        <v>0</v>
      </c>
      <c r="N58" s="21">
        <f t="shared" si="4"/>
        <v>0</v>
      </c>
      <c r="O58" s="142"/>
      <c r="P58" s="142"/>
      <c r="Q58" s="142"/>
      <c r="S58" s="147"/>
      <c r="T58" s="147"/>
    </row>
    <row r="59" spans="1:20" ht="15">
      <c r="A59" s="367">
        <f t="shared" si="1"/>
        <v>46</v>
      </c>
      <c r="B59" s="368"/>
      <c r="C59" s="368"/>
      <c r="D59" s="369"/>
      <c r="E59" s="66" t="s">
        <v>130</v>
      </c>
      <c r="F59" s="375"/>
      <c r="G59" s="79">
        <f t="shared" si="0"/>
        <v>607.34</v>
      </c>
      <c r="H59" s="375"/>
      <c r="I59" s="375"/>
      <c r="J59" s="447">
        <f>158.34+120</f>
        <v>278.34000000000003</v>
      </c>
      <c r="K59" s="375">
        <v>329</v>
      </c>
      <c r="L59" s="218">
        <v>607.34</v>
      </c>
      <c r="M59" s="21">
        <f t="shared" si="3"/>
        <v>0</v>
      </c>
      <c r="N59" s="21">
        <f t="shared" si="4"/>
        <v>329</v>
      </c>
      <c r="O59" s="142"/>
      <c r="P59" s="142"/>
      <c r="Q59" s="142"/>
      <c r="S59" s="147" t="s">
        <v>131</v>
      </c>
      <c r="T59" s="147"/>
    </row>
    <row r="60" spans="1:20" ht="15">
      <c r="A60" s="367">
        <f t="shared" si="1"/>
        <v>47</v>
      </c>
      <c r="B60" s="372" t="s">
        <v>132</v>
      </c>
      <c r="C60" s="368"/>
      <c r="D60" s="369"/>
      <c r="E60" s="59" t="s">
        <v>133</v>
      </c>
      <c r="F60" s="375">
        <v>30250</v>
      </c>
      <c r="G60" s="79">
        <f t="shared" si="0"/>
        <v>11066.53</v>
      </c>
      <c r="H60" s="375">
        <v>0</v>
      </c>
      <c r="I60" s="375"/>
      <c r="J60" s="447">
        <v>10516.53</v>
      </c>
      <c r="K60" s="375">
        <v>550</v>
      </c>
      <c r="L60" s="218">
        <v>11066.53</v>
      </c>
      <c r="M60" s="21">
        <f t="shared" si="3"/>
        <v>0</v>
      </c>
      <c r="N60" s="21">
        <f t="shared" si="4"/>
        <v>550</v>
      </c>
      <c r="O60" s="142"/>
      <c r="P60" s="142"/>
      <c r="Q60" s="142"/>
      <c r="S60" s="147" t="s">
        <v>134</v>
      </c>
      <c r="T60" s="147"/>
    </row>
    <row r="61" spans="1:20" ht="15">
      <c r="A61" s="367"/>
      <c r="B61" s="368" t="s">
        <v>59</v>
      </c>
      <c r="C61" s="368" t="s">
        <v>60</v>
      </c>
      <c r="D61" s="368" t="s">
        <v>61</v>
      </c>
      <c r="E61" s="85" t="s">
        <v>21</v>
      </c>
      <c r="F61" s="79"/>
      <c r="G61" s="79"/>
      <c r="H61" s="79"/>
      <c r="I61" s="79"/>
      <c r="J61" s="450"/>
      <c r="K61" s="79"/>
      <c r="L61" s="218"/>
      <c r="M61" s="141"/>
      <c r="N61" s="141"/>
      <c r="O61" s="141"/>
      <c r="P61" s="141"/>
      <c r="Q61" s="141"/>
      <c r="S61" s="147"/>
      <c r="T61" s="147"/>
    </row>
    <row r="62" spans="1:21" ht="25.5">
      <c r="A62" s="367">
        <f>A60+1</f>
        <v>48</v>
      </c>
      <c r="B62" s="368"/>
      <c r="C62" s="368"/>
      <c r="D62" s="369"/>
      <c r="E62" s="148" t="s">
        <v>135</v>
      </c>
      <c r="F62" s="49">
        <f>F63+F151</f>
        <v>30250</v>
      </c>
      <c r="G62" s="50">
        <f aca="true" t="shared" si="8" ref="G62:G125">H62+I62+J62+K62</f>
        <v>103968.29</v>
      </c>
      <c r="H62" s="49">
        <f>H63+H151</f>
        <v>6874</v>
      </c>
      <c r="I62" s="49">
        <f>I63+I151</f>
        <v>5609.3</v>
      </c>
      <c r="J62" s="209">
        <f>J63+J151</f>
        <v>45023.70999999999</v>
      </c>
      <c r="K62" s="49">
        <f>K63+K151</f>
        <v>46461.28</v>
      </c>
      <c r="L62" s="218">
        <v>30250</v>
      </c>
      <c r="M62" s="350">
        <v>103958.42</v>
      </c>
      <c r="N62" s="141">
        <v>6874</v>
      </c>
      <c r="O62" s="142">
        <v>5609</v>
      </c>
      <c r="P62" s="142">
        <v>45023.71</v>
      </c>
      <c r="Q62" s="142">
        <v>46451.71</v>
      </c>
      <c r="R62" s="150"/>
      <c r="S62" s="33"/>
      <c r="T62" s="33"/>
      <c r="U62" s="150"/>
    </row>
    <row r="63" spans="1:37" ht="15.75" thickBot="1">
      <c r="A63" s="367">
        <f>A62+1</f>
        <v>49</v>
      </c>
      <c r="B63" s="368"/>
      <c r="C63" s="368"/>
      <c r="D63" s="369"/>
      <c r="E63" s="85" t="s">
        <v>136</v>
      </c>
      <c r="F63" s="49">
        <f>F64+F98+F140+F143+F144</f>
        <v>30250</v>
      </c>
      <c r="G63" s="50">
        <f t="shared" si="8"/>
        <v>84252.47</v>
      </c>
      <c r="H63" s="49">
        <f>H64+H98+H140+H143+H144</f>
        <v>1120</v>
      </c>
      <c r="I63" s="49">
        <f>I64+I98+I140+I143+I144</f>
        <v>790</v>
      </c>
      <c r="J63" s="209">
        <f>J64+J98+J140+J143+J144</f>
        <v>39418.189999999995</v>
      </c>
      <c r="K63" s="49">
        <f>K64+K98+K140+K143+K144</f>
        <v>42924.28</v>
      </c>
      <c r="L63" s="218"/>
      <c r="M63" s="315"/>
      <c r="N63" s="151"/>
      <c r="O63" s="151"/>
      <c r="P63" s="151"/>
      <c r="Q63" s="151"/>
      <c r="R63" s="150"/>
      <c r="S63" s="150"/>
      <c r="T63" s="1" t="s">
        <v>137</v>
      </c>
      <c r="U63" s="1"/>
      <c r="AK63" s="83"/>
    </row>
    <row r="64" spans="1:21" ht="15.75" thickBot="1">
      <c r="A64" s="367">
        <f aca="true" t="shared" si="9" ref="A64:A127">A63+1</f>
        <v>50</v>
      </c>
      <c r="B64" s="368">
        <v>10</v>
      </c>
      <c r="C64" s="368"/>
      <c r="D64" s="369"/>
      <c r="E64" s="85" t="s">
        <v>138</v>
      </c>
      <c r="F64" s="49">
        <f>F65+F83+F90</f>
        <v>0</v>
      </c>
      <c r="G64" s="50">
        <f t="shared" si="8"/>
        <v>34158.020000000004</v>
      </c>
      <c r="H64" s="49">
        <f>H65+H83+H90</f>
        <v>0</v>
      </c>
      <c r="I64" s="49">
        <f>I65+I83+I90</f>
        <v>0</v>
      </c>
      <c r="J64" s="209">
        <f>J65+J83+J90</f>
        <v>11698.619999999999</v>
      </c>
      <c r="K64" s="49">
        <f>K65+K83+K90</f>
        <v>22459.4</v>
      </c>
      <c r="L64" s="218"/>
      <c r="M64" s="51"/>
      <c r="R64" s="152" t="s">
        <v>139</v>
      </c>
      <c r="S64" s="153" t="s">
        <v>140</v>
      </c>
      <c r="T64" s="154" t="s">
        <v>141</v>
      </c>
      <c r="U64" s="155"/>
    </row>
    <row r="65" spans="1:21" ht="17.25" customHeight="1">
      <c r="A65" s="367">
        <f t="shared" si="9"/>
        <v>51</v>
      </c>
      <c r="B65" s="368"/>
      <c r="C65" s="377" t="s">
        <v>47</v>
      </c>
      <c r="D65" s="369"/>
      <c r="E65" s="85" t="s">
        <v>142</v>
      </c>
      <c r="F65" s="49">
        <f>SUM(F66:F82)</f>
        <v>0</v>
      </c>
      <c r="G65" s="50">
        <f t="shared" si="8"/>
        <v>25709.85</v>
      </c>
      <c r="H65" s="49">
        <f>SUM(H66:H82)</f>
        <v>0</v>
      </c>
      <c r="I65" s="49">
        <f>SUM(I66:I82)</f>
        <v>0</v>
      </c>
      <c r="J65" s="209">
        <f>SUM(J66:J82)</f>
        <v>8464.029999999999</v>
      </c>
      <c r="K65" s="49">
        <f>SUM(K66:K82)</f>
        <v>17245.82</v>
      </c>
      <c r="L65" s="218"/>
      <c r="M65" s="21"/>
      <c r="N65" s="21"/>
      <c r="R65" s="156">
        <v>1</v>
      </c>
      <c r="S65" s="157" t="s">
        <v>143</v>
      </c>
      <c r="T65" s="158">
        <v>0</v>
      </c>
      <c r="U65" s="159"/>
    </row>
    <row r="66" spans="1:21" ht="15.75" customHeight="1">
      <c r="A66" s="367">
        <f t="shared" si="9"/>
        <v>52</v>
      </c>
      <c r="B66" s="368"/>
      <c r="C66" s="368"/>
      <c r="D66" s="379" t="s">
        <v>47</v>
      </c>
      <c r="E66" s="66" t="s">
        <v>144</v>
      </c>
      <c r="F66" s="417">
        <f aca="true" t="shared" si="10" ref="F66:F89">+F182+F298+F530+F414</f>
        <v>0</v>
      </c>
      <c r="G66" s="79">
        <f t="shared" si="8"/>
        <v>19626.3</v>
      </c>
      <c r="H66" s="417">
        <f aca="true" t="shared" si="11" ref="H66:K81">+H182+H298+H530+H414</f>
        <v>0</v>
      </c>
      <c r="I66" s="417">
        <f t="shared" si="11"/>
        <v>0</v>
      </c>
      <c r="J66" s="451">
        <f t="shared" si="11"/>
        <v>6213.07</v>
      </c>
      <c r="K66" s="417">
        <f t="shared" si="11"/>
        <v>13413.23</v>
      </c>
      <c r="L66" s="218"/>
      <c r="M66" s="21"/>
      <c r="N66" s="21"/>
      <c r="R66" s="160">
        <v>2</v>
      </c>
      <c r="S66" s="158" t="s">
        <v>145</v>
      </c>
      <c r="T66" s="158">
        <v>0</v>
      </c>
      <c r="U66" s="161"/>
    </row>
    <row r="67" spans="1:21" ht="20.25" customHeight="1">
      <c r="A67" s="367">
        <f t="shared" si="9"/>
        <v>53</v>
      </c>
      <c r="B67" s="368"/>
      <c r="C67" s="368"/>
      <c r="D67" s="379" t="s">
        <v>80</v>
      </c>
      <c r="E67" s="66" t="s">
        <v>146</v>
      </c>
      <c r="F67" s="417">
        <f t="shared" si="10"/>
        <v>0</v>
      </c>
      <c r="G67" s="79">
        <f t="shared" si="8"/>
        <v>0</v>
      </c>
      <c r="H67" s="417">
        <f t="shared" si="11"/>
        <v>0</v>
      </c>
      <c r="I67" s="417">
        <f t="shared" si="11"/>
        <v>0</v>
      </c>
      <c r="J67" s="451">
        <f t="shared" si="11"/>
        <v>0</v>
      </c>
      <c r="K67" s="417">
        <f t="shared" si="11"/>
        <v>0</v>
      </c>
      <c r="L67" s="218"/>
      <c r="M67" s="21"/>
      <c r="R67" s="160">
        <v>3</v>
      </c>
      <c r="S67" s="158" t="s">
        <v>147</v>
      </c>
      <c r="T67" s="158">
        <v>0</v>
      </c>
      <c r="U67" s="159"/>
    </row>
    <row r="68" spans="1:21" ht="15" customHeight="1">
      <c r="A68" s="367">
        <f t="shared" si="9"/>
        <v>54</v>
      </c>
      <c r="B68" s="368"/>
      <c r="C68" s="368"/>
      <c r="D68" s="379" t="s">
        <v>84</v>
      </c>
      <c r="E68" s="66" t="s">
        <v>148</v>
      </c>
      <c r="F68" s="417">
        <f t="shared" si="10"/>
        <v>0</v>
      </c>
      <c r="G68" s="79">
        <f t="shared" si="8"/>
        <v>0</v>
      </c>
      <c r="H68" s="417">
        <f t="shared" si="11"/>
        <v>0</v>
      </c>
      <c r="I68" s="417">
        <f t="shared" si="11"/>
        <v>0</v>
      </c>
      <c r="J68" s="451">
        <f t="shared" si="11"/>
        <v>0</v>
      </c>
      <c r="K68" s="417">
        <f t="shared" si="11"/>
        <v>0</v>
      </c>
      <c r="L68" s="218"/>
      <c r="M68" s="21"/>
      <c r="R68" s="160">
        <v>4</v>
      </c>
      <c r="S68" s="158" t="s">
        <v>149</v>
      </c>
      <c r="T68" s="158">
        <v>0</v>
      </c>
      <c r="U68" s="162"/>
    </row>
    <row r="69" spans="1:21" ht="16.5" customHeight="1">
      <c r="A69" s="367">
        <f t="shared" si="9"/>
        <v>55</v>
      </c>
      <c r="B69" s="368"/>
      <c r="C69" s="368"/>
      <c r="D69" s="379" t="s">
        <v>108</v>
      </c>
      <c r="E69" s="66" t="s">
        <v>150</v>
      </c>
      <c r="F69" s="417">
        <f t="shared" si="10"/>
        <v>0</v>
      </c>
      <c r="G69" s="79">
        <f t="shared" si="8"/>
        <v>0</v>
      </c>
      <c r="H69" s="417">
        <f t="shared" si="11"/>
        <v>0</v>
      </c>
      <c r="I69" s="417">
        <f t="shared" si="11"/>
        <v>0</v>
      </c>
      <c r="J69" s="451">
        <f t="shared" si="11"/>
        <v>0</v>
      </c>
      <c r="K69" s="417">
        <f t="shared" si="11"/>
        <v>0</v>
      </c>
      <c r="L69" s="218"/>
      <c r="M69" s="21"/>
      <c r="R69" s="160">
        <v>5</v>
      </c>
      <c r="S69" s="158" t="s">
        <v>151</v>
      </c>
      <c r="T69" s="158">
        <v>0</v>
      </c>
      <c r="U69" s="162"/>
    </row>
    <row r="70" spans="1:21" ht="46.5" customHeight="1">
      <c r="A70" s="367">
        <f t="shared" si="9"/>
        <v>56</v>
      </c>
      <c r="B70" s="368"/>
      <c r="C70" s="368"/>
      <c r="D70" s="379" t="s">
        <v>41</v>
      </c>
      <c r="E70" s="66" t="s">
        <v>152</v>
      </c>
      <c r="F70" s="417">
        <f t="shared" si="10"/>
        <v>0</v>
      </c>
      <c r="G70" s="79">
        <f t="shared" si="8"/>
        <v>3280.59</v>
      </c>
      <c r="H70" s="417">
        <f t="shared" si="11"/>
        <v>0</v>
      </c>
      <c r="I70" s="417">
        <f t="shared" si="11"/>
        <v>0</v>
      </c>
      <c r="J70" s="451">
        <f t="shared" si="11"/>
        <v>1177.2</v>
      </c>
      <c r="K70" s="417">
        <f t="shared" si="11"/>
        <v>2103.39</v>
      </c>
      <c r="L70" s="218"/>
      <c r="M70" s="21"/>
      <c r="R70" s="160">
        <v>6</v>
      </c>
      <c r="S70" s="158" t="s">
        <v>153</v>
      </c>
      <c r="T70" s="158">
        <v>0</v>
      </c>
      <c r="U70" s="162"/>
    </row>
    <row r="71" spans="1:21" ht="15" customHeight="1" thickBot="1">
      <c r="A71" s="367">
        <f t="shared" si="9"/>
        <v>57</v>
      </c>
      <c r="B71" s="368"/>
      <c r="C71" s="368"/>
      <c r="D71" s="379" t="s">
        <v>154</v>
      </c>
      <c r="E71" s="66" t="s">
        <v>155</v>
      </c>
      <c r="F71" s="417">
        <f t="shared" si="10"/>
        <v>0</v>
      </c>
      <c r="G71" s="79">
        <f t="shared" si="8"/>
        <v>1608.78</v>
      </c>
      <c r="H71" s="417">
        <f t="shared" si="11"/>
        <v>0</v>
      </c>
      <c r="I71" s="417">
        <f t="shared" si="11"/>
        <v>0</v>
      </c>
      <c r="J71" s="451">
        <f t="shared" si="11"/>
        <v>618.74</v>
      </c>
      <c r="K71" s="417">
        <f t="shared" si="11"/>
        <v>990.04</v>
      </c>
      <c r="L71" s="218"/>
      <c r="M71" s="21"/>
      <c r="R71" s="163">
        <v>7</v>
      </c>
      <c r="S71" s="164" t="s">
        <v>156</v>
      </c>
      <c r="T71" s="158">
        <v>0</v>
      </c>
      <c r="U71" s="162"/>
    </row>
    <row r="72" spans="1:37" ht="12.75">
      <c r="A72" s="367">
        <f t="shared" si="9"/>
        <v>58</v>
      </c>
      <c r="B72" s="368"/>
      <c r="C72" s="368"/>
      <c r="D72" s="379" t="s">
        <v>157</v>
      </c>
      <c r="E72" s="66" t="s">
        <v>158</v>
      </c>
      <c r="F72" s="417">
        <f t="shared" si="10"/>
        <v>0</v>
      </c>
      <c r="G72" s="79">
        <f t="shared" si="8"/>
        <v>0</v>
      </c>
      <c r="H72" s="417">
        <f t="shared" si="11"/>
        <v>0</v>
      </c>
      <c r="I72" s="417">
        <f t="shared" si="11"/>
        <v>0</v>
      </c>
      <c r="J72" s="451">
        <f t="shared" si="11"/>
        <v>0</v>
      </c>
      <c r="K72" s="417">
        <f t="shared" si="11"/>
        <v>0</v>
      </c>
      <c r="L72" s="218"/>
      <c r="M72" s="21"/>
      <c r="AK72" s="83"/>
    </row>
    <row r="73" spans="1:13" ht="12.75">
      <c r="A73" s="367">
        <f t="shared" si="9"/>
        <v>59</v>
      </c>
      <c r="B73" s="368"/>
      <c r="C73" s="368"/>
      <c r="D73" s="379" t="s">
        <v>65</v>
      </c>
      <c r="E73" s="66" t="s">
        <v>159</v>
      </c>
      <c r="F73" s="417">
        <f t="shared" si="10"/>
        <v>0</v>
      </c>
      <c r="G73" s="79">
        <f t="shared" si="8"/>
        <v>0</v>
      </c>
      <c r="H73" s="417">
        <f t="shared" si="11"/>
        <v>0</v>
      </c>
      <c r="I73" s="417">
        <f t="shared" si="11"/>
        <v>0</v>
      </c>
      <c r="J73" s="451">
        <f t="shared" si="11"/>
        <v>0</v>
      </c>
      <c r="K73" s="417">
        <f t="shared" si="11"/>
        <v>0</v>
      </c>
      <c r="L73" s="218"/>
      <c r="M73" s="21"/>
    </row>
    <row r="74" spans="1:13" ht="12.75">
      <c r="A74" s="367">
        <f t="shared" si="9"/>
        <v>60</v>
      </c>
      <c r="B74" s="368"/>
      <c r="C74" s="368"/>
      <c r="D74" s="379" t="s">
        <v>160</v>
      </c>
      <c r="E74" s="66" t="s">
        <v>161</v>
      </c>
      <c r="F74" s="417">
        <f t="shared" si="10"/>
        <v>0</v>
      </c>
      <c r="G74" s="79">
        <f t="shared" si="8"/>
        <v>0</v>
      </c>
      <c r="H74" s="417">
        <f t="shared" si="11"/>
        <v>0</v>
      </c>
      <c r="I74" s="417">
        <f t="shared" si="11"/>
        <v>0</v>
      </c>
      <c r="J74" s="451">
        <f t="shared" si="11"/>
        <v>0</v>
      </c>
      <c r="K74" s="417">
        <f t="shared" si="11"/>
        <v>0</v>
      </c>
      <c r="L74" s="218"/>
      <c r="M74" s="21"/>
    </row>
    <row r="75" spans="1:37" ht="15">
      <c r="A75" s="367">
        <f t="shared" si="9"/>
        <v>61</v>
      </c>
      <c r="B75" s="368"/>
      <c r="C75" s="368"/>
      <c r="D75" s="369">
        <v>10</v>
      </c>
      <c r="E75" s="66" t="s">
        <v>162</v>
      </c>
      <c r="F75" s="417">
        <f t="shared" si="10"/>
        <v>0</v>
      </c>
      <c r="G75" s="79">
        <f t="shared" si="8"/>
        <v>0</v>
      </c>
      <c r="H75" s="417">
        <f t="shared" si="11"/>
        <v>0</v>
      </c>
      <c r="I75" s="417">
        <f t="shared" si="11"/>
        <v>0</v>
      </c>
      <c r="J75" s="451">
        <f t="shared" si="11"/>
        <v>0</v>
      </c>
      <c r="K75" s="417">
        <f t="shared" si="11"/>
        <v>0</v>
      </c>
      <c r="L75" s="218"/>
      <c r="M75" s="21"/>
      <c r="R75" s="11" t="s">
        <v>98</v>
      </c>
      <c r="S75" s="70"/>
      <c r="T75" s="70"/>
      <c r="U75" s="35" t="s">
        <v>99</v>
      </c>
      <c r="V75" s="70"/>
      <c r="W75" s="70"/>
      <c r="AK75">
        <v>238369.69</v>
      </c>
    </row>
    <row r="76" spans="1:37" ht="12.75">
      <c r="A76" s="367">
        <f t="shared" si="9"/>
        <v>62</v>
      </c>
      <c r="B76" s="368"/>
      <c r="C76" s="368"/>
      <c r="D76" s="369">
        <v>11</v>
      </c>
      <c r="E76" s="66" t="s">
        <v>163</v>
      </c>
      <c r="F76" s="417">
        <f t="shared" si="10"/>
        <v>0</v>
      </c>
      <c r="G76" s="79">
        <f t="shared" si="8"/>
        <v>1192.1799999999998</v>
      </c>
      <c r="H76" s="417">
        <f t="shared" si="11"/>
        <v>0</v>
      </c>
      <c r="I76" s="417">
        <f t="shared" si="11"/>
        <v>0</v>
      </c>
      <c r="J76" s="451">
        <f t="shared" si="11"/>
        <v>454.02</v>
      </c>
      <c r="K76" s="417">
        <f t="shared" si="11"/>
        <v>738.16</v>
      </c>
      <c r="L76" s="218"/>
      <c r="M76" s="21"/>
      <c r="AK76">
        <v>1222222</v>
      </c>
    </row>
    <row r="77" spans="1:37" ht="12.75">
      <c r="A77" s="367">
        <f t="shared" si="9"/>
        <v>63</v>
      </c>
      <c r="B77" s="368"/>
      <c r="C77" s="368"/>
      <c r="D77" s="369">
        <v>12</v>
      </c>
      <c r="E77" s="66" t="s">
        <v>164</v>
      </c>
      <c r="F77" s="417">
        <f t="shared" si="10"/>
        <v>0</v>
      </c>
      <c r="G77" s="79">
        <f t="shared" si="8"/>
        <v>0</v>
      </c>
      <c r="H77" s="417">
        <f t="shared" si="11"/>
        <v>0</v>
      </c>
      <c r="I77" s="417">
        <f t="shared" si="11"/>
        <v>0</v>
      </c>
      <c r="J77" s="451">
        <f t="shared" si="11"/>
        <v>0</v>
      </c>
      <c r="K77" s="417">
        <f t="shared" si="11"/>
        <v>0</v>
      </c>
      <c r="L77" s="218"/>
      <c r="M77" s="21"/>
      <c r="R77" s="130"/>
      <c r="S77" s="70"/>
      <c r="T77" s="70"/>
      <c r="AK77">
        <v>318400</v>
      </c>
    </row>
    <row r="78" spans="1:37" ht="12.75">
      <c r="A78" s="367">
        <f t="shared" si="9"/>
        <v>64</v>
      </c>
      <c r="B78" s="368"/>
      <c r="C78" s="368"/>
      <c r="D78" s="369">
        <v>13</v>
      </c>
      <c r="E78" s="66" t="s">
        <v>165</v>
      </c>
      <c r="F78" s="417">
        <f t="shared" si="10"/>
        <v>0</v>
      </c>
      <c r="G78" s="79">
        <f t="shared" si="8"/>
        <v>2</v>
      </c>
      <c r="H78" s="417">
        <f t="shared" si="11"/>
        <v>0</v>
      </c>
      <c r="I78" s="417">
        <f t="shared" si="11"/>
        <v>0</v>
      </c>
      <c r="J78" s="451">
        <f t="shared" si="11"/>
        <v>1</v>
      </c>
      <c r="K78" s="417">
        <f t="shared" si="11"/>
        <v>1</v>
      </c>
      <c r="L78" s="218"/>
      <c r="M78" s="21"/>
      <c r="AK78">
        <v>124305</v>
      </c>
    </row>
    <row r="79" spans="1:37" ht="12.75">
      <c r="A79" s="367">
        <f t="shared" si="9"/>
        <v>65</v>
      </c>
      <c r="B79" s="368"/>
      <c r="C79" s="368"/>
      <c r="D79" s="369">
        <v>14</v>
      </c>
      <c r="E79" s="66" t="s">
        <v>166</v>
      </c>
      <c r="F79" s="417">
        <f t="shared" si="10"/>
        <v>0</v>
      </c>
      <c r="G79" s="79">
        <f t="shared" si="8"/>
        <v>0</v>
      </c>
      <c r="H79" s="417">
        <f t="shared" si="11"/>
        <v>0</v>
      </c>
      <c r="I79" s="417">
        <f t="shared" si="11"/>
        <v>0</v>
      </c>
      <c r="J79" s="451">
        <f t="shared" si="11"/>
        <v>0</v>
      </c>
      <c r="K79" s="417">
        <f t="shared" si="11"/>
        <v>0</v>
      </c>
      <c r="L79" s="218"/>
      <c r="M79" s="21"/>
      <c r="AK79">
        <v>8799</v>
      </c>
    </row>
    <row r="80" spans="1:37" ht="12.75">
      <c r="A80" s="367">
        <f t="shared" si="9"/>
        <v>66</v>
      </c>
      <c r="B80" s="368"/>
      <c r="C80" s="368"/>
      <c r="D80" s="369">
        <v>15</v>
      </c>
      <c r="E80" s="66" t="s">
        <v>167</v>
      </c>
      <c r="F80" s="417">
        <f t="shared" si="10"/>
        <v>0</v>
      </c>
      <c r="G80" s="79">
        <f t="shared" si="8"/>
        <v>0</v>
      </c>
      <c r="H80" s="417">
        <f t="shared" si="11"/>
        <v>0</v>
      </c>
      <c r="I80" s="417">
        <f t="shared" si="11"/>
        <v>0</v>
      </c>
      <c r="J80" s="451">
        <f t="shared" si="11"/>
        <v>0</v>
      </c>
      <c r="K80" s="417">
        <f t="shared" si="11"/>
        <v>0</v>
      </c>
      <c r="L80" s="218"/>
      <c r="M80" s="21"/>
      <c r="AK80">
        <v>4284</v>
      </c>
    </row>
    <row r="81" spans="1:37" ht="12.75">
      <c r="A81" s="367">
        <f t="shared" si="9"/>
        <v>67</v>
      </c>
      <c r="B81" s="368"/>
      <c r="C81" s="368"/>
      <c r="D81" s="369">
        <v>16</v>
      </c>
      <c r="E81" s="66" t="s">
        <v>168</v>
      </c>
      <c r="F81" s="417">
        <f t="shared" si="10"/>
        <v>0</v>
      </c>
      <c r="G81" s="79">
        <f t="shared" si="8"/>
        <v>0</v>
      </c>
      <c r="H81" s="417">
        <f t="shared" si="11"/>
        <v>0</v>
      </c>
      <c r="I81" s="417">
        <f t="shared" si="11"/>
        <v>0</v>
      </c>
      <c r="J81" s="451">
        <f t="shared" si="11"/>
        <v>0</v>
      </c>
      <c r="K81" s="417">
        <f t="shared" si="11"/>
        <v>0</v>
      </c>
      <c r="L81" s="218"/>
      <c r="M81" s="21"/>
      <c r="AK81" s="83">
        <f>SUM(AK75:AK80)</f>
        <v>1916379.69</v>
      </c>
    </row>
    <row r="82" spans="1:13" ht="12.75">
      <c r="A82" s="367">
        <f t="shared" si="9"/>
        <v>68</v>
      </c>
      <c r="B82" s="368"/>
      <c r="C82" s="368"/>
      <c r="D82" s="369">
        <v>30</v>
      </c>
      <c r="E82" s="66" t="s">
        <v>169</v>
      </c>
      <c r="F82" s="417">
        <f t="shared" si="10"/>
        <v>0</v>
      </c>
      <c r="G82" s="79">
        <f t="shared" si="8"/>
        <v>0</v>
      </c>
      <c r="H82" s="417">
        <f aca="true" t="shared" si="12" ref="H82:K89">+H198+H314+H546+H430</f>
        <v>0</v>
      </c>
      <c r="I82" s="417">
        <f t="shared" si="12"/>
        <v>0</v>
      </c>
      <c r="J82" s="451">
        <f t="shared" si="12"/>
        <v>0</v>
      </c>
      <c r="K82" s="417">
        <f t="shared" si="12"/>
        <v>0</v>
      </c>
      <c r="L82" s="218"/>
      <c r="M82" s="21"/>
    </row>
    <row r="83" spans="1:13" ht="12.75">
      <c r="A83" s="367">
        <f t="shared" si="9"/>
        <v>69</v>
      </c>
      <c r="B83" s="368"/>
      <c r="C83" s="377" t="s">
        <v>80</v>
      </c>
      <c r="D83" s="369"/>
      <c r="E83" s="85" t="s">
        <v>170</v>
      </c>
      <c r="F83" s="49">
        <f t="shared" si="10"/>
        <v>0</v>
      </c>
      <c r="G83" s="50">
        <f t="shared" si="8"/>
        <v>1808.43</v>
      </c>
      <c r="H83" s="49">
        <f t="shared" si="12"/>
        <v>0</v>
      </c>
      <c r="I83" s="49">
        <f t="shared" si="12"/>
        <v>0</v>
      </c>
      <c r="J83" s="209">
        <f t="shared" si="12"/>
        <v>733.28</v>
      </c>
      <c r="K83" s="49">
        <f t="shared" si="12"/>
        <v>1075.15</v>
      </c>
      <c r="L83" s="218"/>
      <c r="M83" s="21"/>
    </row>
    <row r="84" spans="1:14" ht="12.75">
      <c r="A84" s="367">
        <f t="shared" si="9"/>
        <v>70</v>
      </c>
      <c r="B84" s="368"/>
      <c r="C84" s="368"/>
      <c r="D84" s="379" t="s">
        <v>47</v>
      </c>
      <c r="E84" s="66" t="s">
        <v>171</v>
      </c>
      <c r="F84" s="79">
        <f t="shared" si="10"/>
        <v>0</v>
      </c>
      <c r="G84" s="79">
        <f t="shared" si="8"/>
        <v>1808.43</v>
      </c>
      <c r="H84" s="79">
        <f t="shared" si="12"/>
        <v>0</v>
      </c>
      <c r="I84" s="79">
        <f t="shared" si="12"/>
        <v>0</v>
      </c>
      <c r="J84" s="450">
        <f t="shared" si="12"/>
        <v>733.28</v>
      </c>
      <c r="K84" s="79">
        <f t="shared" si="12"/>
        <v>1075.15</v>
      </c>
      <c r="L84" s="218"/>
      <c r="M84" s="21"/>
      <c r="N84" s="21"/>
    </row>
    <row r="85" spans="1:13" ht="12.75">
      <c r="A85" s="367">
        <f t="shared" si="9"/>
        <v>71</v>
      </c>
      <c r="B85" s="368"/>
      <c r="C85" s="368"/>
      <c r="D85" s="379" t="s">
        <v>80</v>
      </c>
      <c r="E85" s="66" t="s">
        <v>172</v>
      </c>
      <c r="F85" s="79">
        <f t="shared" si="10"/>
        <v>0</v>
      </c>
      <c r="G85" s="79">
        <f t="shared" si="8"/>
        <v>0</v>
      </c>
      <c r="H85" s="79">
        <f t="shared" si="12"/>
        <v>0</v>
      </c>
      <c r="I85" s="79">
        <f t="shared" si="12"/>
        <v>0</v>
      </c>
      <c r="J85" s="450">
        <f t="shared" si="12"/>
        <v>0</v>
      </c>
      <c r="K85" s="79">
        <f t="shared" si="12"/>
        <v>0</v>
      </c>
      <c r="L85" s="218"/>
      <c r="M85" s="21"/>
    </row>
    <row r="86" spans="1:13" ht="12.75">
      <c r="A86" s="367">
        <f t="shared" si="9"/>
        <v>72</v>
      </c>
      <c r="B86" s="368"/>
      <c r="C86" s="368"/>
      <c r="D86" s="379" t="s">
        <v>84</v>
      </c>
      <c r="E86" s="66" t="s">
        <v>173</v>
      </c>
      <c r="F86" s="79">
        <f t="shared" si="10"/>
        <v>0</v>
      </c>
      <c r="G86" s="79">
        <f t="shared" si="8"/>
        <v>0</v>
      </c>
      <c r="H86" s="79">
        <f t="shared" si="12"/>
        <v>0</v>
      </c>
      <c r="I86" s="79">
        <f t="shared" si="12"/>
        <v>0</v>
      </c>
      <c r="J86" s="450">
        <f t="shared" si="12"/>
        <v>0</v>
      </c>
      <c r="K86" s="79">
        <f t="shared" si="12"/>
        <v>0</v>
      </c>
      <c r="L86" s="218"/>
      <c r="M86" s="21"/>
    </row>
    <row r="87" spans="1:13" ht="12.75">
      <c r="A87" s="367">
        <f t="shared" si="9"/>
        <v>73</v>
      </c>
      <c r="B87" s="368"/>
      <c r="C87" s="368"/>
      <c r="D87" s="379" t="s">
        <v>108</v>
      </c>
      <c r="E87" s="66" t="s">
        <v>174</v>
      </c>
      <c r="F87" s="79">
        <f t="shared" si="10"/>
        <v>0</v>
      </c>
      <c r="G87" s="79">
        <f t="shared" si="8"/>
        <v>0</v>
      </c>
      <c r="H87" s="79">
        <f t="shared" si="12"/>
        <v>0</v>
      </c>
      <c r="I87" s="79">
        <f t="shared" si="12"/>
        <v>0</v>
      </c>
      <c r="J87" s="450">
        <f t="shared" si="12"/>
        <v>0</v>
      </c>
      <c r="K87" s="79">
        <f t="shared" si="12"/>
        <v>0</v>
      </c>
      <c r="L87" s="218"/>
      <c r="M87" s="21"/>
    </row>
    <row r="88" spans="1:13" ht="12.75">
      <c r="A88" s="367">
        <f t="shared" si="9"/>
        <v>74</v>
      </c>
      <c r="B88" s="368"/>
      <c r="C88" s="368"/>
      <c r="D88" s="379" t="s">
        <v>41</v>
      </c>
      <c r="E88" s="66" t="s">
        <v>175</v>
      </c>
      <c r="F88" s="79">
        <f t="shared" si="10"/>
        <v>0</v>
      </c>
      <c r="G88" s="79">
        <f t="shared" si="8"/>
        <v>0</v>
      </c>
      <c r="H88" s="79">
        <f t="shared" si="12"/>
        <v>0</v>
      </c>
      <c r="I88" s="79">
        <f t="shared" si="12"/>
        <v>0</v>
      </c>
      <c r="J88" s="450">
        <f t="shared" si="12"/>
        <v>0</v>
      </c>
      <c r="K88" s="79">
        <f t="shared" si="12"/>
        <v>0</v>
      </c>
      <c r="L88" s="218"/>
      <c r="M88" s="21"/>
    </row>
    <row r="89" spans="1:13" ht="12.75">
      <c r="A89" s="367">
        <f t="shared" si="9"/>
        <v>75</v>
      </c>
      <c r="B89" s="368"/>
      <c r="C89" s="368"/>
      <c r="D89" s="369">
        <v>30</v>
      </c>
      <c r="E89" s="66" t="s">
        <v>176</v>
      </c>
      <c r="F89" s="79">
        <f t="shared" si="10"/>
        <v>0</v>
      </c>
      <c r="G89" s="79">
        <f t="shared" si="8"/>
        <v>0</v>
      </c>
      <c r="H89" s="79">
        <f t="shared" si="12"/>
        <v>0</v>
      </c>
      <c r="I89" s="79">
        <f t="shared" si="12"/>
        <v>0</v>
      </c>
      <c r="J89" s="450">
        <f t="shared" si="12"/>
        <v>0</v>
      </c>
      <c r="K89" s="79">
        <f t="shared" si="12"/>
        <v>0</v>
      </c>
      <c r="L89" s="218"/>
      <c r="M89" s="21"/>
    </row>
    <row r="90" spans="1:14" ht="12.75">
      <c r="A90" s="367">
        <f t="shared" si="9"/>
        <v>76</v>
      </c>
      <c r="B90" s="368"/>
      <c r="C90" s="377" t="s">
        <v>84</v>
      </c>
      <c r="D90" s="369"/>
      <c r="E90" s="85" t="s">
        <v>177</v>
      </c>
      <c r="F90" s="49">
        <f>F91+F92+F93+F94+F95+F96+F97</f>
        <v>0</v>
      </c>
      <c r="G90" s="50">
        <f t="shared" si="8"/>
        <v>6639.74</v>
      </c>
      <c r="H90" s="49">
        <f>H91+H92+H93+H94+H95+H96+H97</f>
        <v>0</v>
      </c>
      <c r="I90" s="49">
        <f>I91+I92+I93+I94+I95+I96+I97</f>
        <v>0</v>
      </c>
      <c r="J90" s="209">
        <f>J91+J92+J93+J94+J95+J96+J97</f>
        <v>2501.31</v>
      </c>
      <c r="K90" s="49">
        <f>K91+K92+K93+K94+K95+K96+K97</f>
        <v>4138.429999999999</v>
      </c>
      <c r="L90" s="218"/>
      <c r="M90" s="21"/>
      <c r="N90" s="21"/>
    </row>
    <row r="91" spans="1:13" ht="12.75">
      <c r="A91" s="367">
        <f t="shared" si="9"/>
        <v>77</v>
      </c>
      <c r="B91" s="368"/>
      <c r="C91" s="368"/>
      <c r="D91" s="379" t="s">
        <v>47</v>
      </c>
      <c r="E91" s="66" t="s">
        <v>178</v>
      </c>
      <c r="F91" s="79">
        <f aca="true" t="shared" si="13" ref="F91:F97">+F207+F323+F555+F439</f>
        <v>0</v>
      </c>
      <c r="G91" s="79">
        <f t="shared" si="8"/>
        <v>5017.469999999999</v>
      </c>
      <c r="H91" s="79">
        <f aca="true" t="shared" si="14" ref="H91:K97">+H207+H323+H555+H439</f>
        <v>0</v>
      </c>
      <c r="I91" s="79">
        <f t="shared" si="14"/>
        <v>0</v>
      </c>
      <c r="J91" s="450">
        <f t="shared" si="14"/>
        <v>1872.1599999999999</v>
      </c>
      <c r="K91" s="79">
        <f t="shared" si="14"/>
        <v>3145.31</v>
      </c>
      <c r="L91" s="218"/>
      <c r="M91" s="21"/>
    </row>
    <row r="92" spans="1:14" ht="12.75">
      <c r="A92" s="367">
        <f t="shared" si="9"/>
        <v>78</v>
      </c>
      <c r="B92" s="368"/>
      <c r="C92" s="368"/>
      <c r="D92" s="379" t="s">
        <v>80</v>
      </c>
      <c r="E92" s="66" t="s">
        <v>179</v>
      </c>
      <c r="F92" s="79">
        <f t="shared" si="13"/>
        <v>0</v>
      </c>
      <c r="G92" s="79">
        <f t="shared" si="8"/>
        <v>115.80000000000001</v>
      </c>
      <c r="H92" s="79">
        <f t="shared" si="14"/>
        <v>0</v>
      </c>
      <c r="I92" s="79">
        <f t="shared" si="14"/>
        <v>0</v>
      </c>
      <c r="J92" s="450">
        <f t="shared" si="14"/>
        <v>42.43</v>
      </c>
      <c r="K92" s="79">
        <f t="shared" si="14"/>
        <v>73.37</v>
      </c>
      <c r="L92" s="218"/>
      <c r="M92" s="21"/>
      <c r="N92" s="21"/>
    </row>
    <row r="93" spans="1:13" ht="12.75">
      <c r="A93" s="367">
        <f t="shared" si="9"/>
        <v>79</v>
      </c>
      <c r="B93" s="368"/>
      <c r="C93" s="368"/>
      <c r="D93" s="379" t="s">
        <v>84</v>
      </c>
      <c r="E93" s="66" t="s">
        <v>180</v>
      </c>
      <c r="F93" s="79">
        <f t="shared" si="13"/>
        <v>0</v>
      </c>
      <c r="G93" s="79">
        <f t="shared" si="8"/>
        <v>1219.6</v>
      </c>
      <c r="H93" s="79">
        <f t="shared" si="14"/>
        <v>0</v>
      </c>
      <c r="I93" s="79">
        <f t="shared" si="14"/>
        <v>0</v>
      </c>
      <c r="J93" s="450">
        <f t="shared" si="14"/>
        <v>447.25</v>
      </c>
      <c r="K93" s="79">
        <f t="shared" si="14"/>
        <v>772.35</v>
      </c>
      <c r="L93" s="218"/>
      <c r="M93" s="21"/>
    </row>
    <row r="94" spans="1:13" ht="12.75">
      <c r="A94" s="367">
        <f t="shared" si="9"/>
        <v>80</v>
      </c>
      <c r="B94" s="368"/>
      <c r="C94" s="368"/>
      <c r="D94" s="379" t="s">
        <v>108</v>
      </c>
      <c r="E94" s="66" t="s">
        <v>181</v>
      </c>
      <c r="F94" s="79">
        <f t="shared" si="13"/>
        <v>0</v>
      </c>
      <c r="G94" s="79">
        <f t="shared" si="8"/>
        <v>65.26</v>
      </c>
      <c r="H94" s="79">
        <f t="shared" si="14"/>
        <v>0</v>
      </c>
      <c r="I94" s="79">
        <f t="shared" si="14"/>
        <v>0</v>
      </c>
      <c r="J94" s="450">
        <f t="shared" si="14"/>
        <v>24.830000000000002</v>
      </c>
      <c r="K94" s="79">
        <f t="shared" si="14"/>
        <v>40.43</v>
      </c>
      <c r="L94" s="218"/>
      <c r="M94" s="21"/>
    </row>
    <row r="95" spans="1:13" ht="12.75">
      <c r="A95" s="367">
        <f t="shared" si="9"/>
        <v>81</v>
      </c>
      <c r="B95" s="368"/>
      <c r="C95" s="368"/>
      <c r="D95" s="379" t="s">
        <v>41</v>
      </c>
      <c r="E95" s="66" t="s">
        <v>182</v>
      </c>
      <c r="F95" s="79">
        <f t="shared" si="13"/>
        <v>0</v>
      </c>
      <c r="G95" s="79">
        <f t="shared" si="8"/>
        <v>0</v>
      </c>
      <c r="H95" s="79">
        <f t="shared" si="14"/>
        <v>0</v>
      </c>
      <c r="I95" s="79">
        <f t="shared" si="14"/>
        <v>0</v>
      </c>
      <c r="J95" s="450">
        <f t="shared" si="14"/>
        <v>0</v>
      </c>
      <c r="K95" s="79">
        <f t="shared" si="14"/>
        <v>0</v>
      </c>
      <c r="L95" s="218"/>
      <c r="M95" s="21"/>
    </row>
    <row r="96" spans="1:13" ht="12.75">
      <c r="A96" s="367">
        <f t="shared" si="9"/>
        <v>82</v>
      </c>
      <c r="B96" s="368"/>
      <c r="C96" s="368"/>
      <c r="D96" s="379" t="s">
        <v>154</v>
      </c>
      <c r="E96" s="66" t="s">
        <v>183</v>
      </c>
      <c r="F96" s="79">
        <f t="shared" si="13"/>
        <v>0</v>
      </c>
      <c r="G96" s="79">
        <f t="shared" si="8"/>
        <v>221.61</v>
      </c>
      <c r="H96" s="79">
        <f t="shared" si="14"/>
        <v>0</v>
      </c>
      <c r="I96" s="79">
        <f t="shared" si="14"/>
        <v>0</v>
      </c>
      <c r="J96" s="450">
        <f t="shared" si="14"/>
        <v>114.64</v>
      </c>
      <c r="K96" s="79">
        <f t="shared" si="14"/>
        <v>106.97</v>
      </c>
      <c r="L96" s="218"/>
      <c r="M96" s="21"/>
    </row>
    <row r="97" spans="1:13" ht="12.75">
      <c r="A97" s="367">
        <f t="shared" si="9"/>
        <v>83</v>
      </c>
      <c r="B97" s="368"/>
      <c r="C97" s="368"/>
      <c r="D97" s="379" t="s">
        <v>157</v>
      </c>
      <c r="E97" s="66" t="s">
        <v>184</v>
      </c>
      <c r="F97" s="79">
        <f t="shared" si="13"/>
        <v>0</v>
      </c>
      <c r="G97" s="79">
        <f t="shared" si="8"/>
        <v>0</v>
      </c>
      <c r="H97" s="79">
        <f t="shared" si="14"/>
        <v>0</v>
      </c>
      <c r="I97" s="79">
        <f t="shared" si="14"/>
        <v>0</v>
      </c>
      <c r="J97" s="450">
        <f t="shared" si="14"/>
        <v>0</v>
      </c>
      <c r="K97" s="79">
        <f t="shared" si="14"/>
        <v>0</v>
      </c>
      <c r="L97" s="218"/>
      <c r="M97" s="21"/>
    </row>
    <row r="98" spans="1:13" ht="12.75">
      <c r="A98" s="367">
        <f t="shared" si="9"/>
        <v>84</v>
      </c>
      <c r="B98" s="368">
        <v>20</v>
      </c>
      <c r="C98" s="368"/>
      <c r="D98" s="369"/>
      <c r="E98" s="85" t="s">
        <v>185</v>
      </c>
      <c r="F98" s="49">
        <f>F99+F110+F111+F114+F119+F123+F126+F127+F128+F129+F130+F131+F132+F133+F134</f>
        <v>0</v>
      </c>
      <c r="G98" s="50">
        <f t="shared" si="8"/>
        <v>39027.92</v>
      </c>
      <c r="H98" s="49">
        <f>H99+H110+H111+H114+H119+H123+H126+H127+H128+H129+H130+H131+H132+H133+H134</f>
        <v>1120</v>
      </c>
      <c r="I98" s="49">
        <f>I99+I110+I111+I114+I119+I123+I126+I127+I128+I129+I130+I131+I132+I133+I134</f>
        <v>790</v>
      </c>
      <c r="J98" s="209">
        <f>J99+J110+J111+J114+J119+J123+J126+J127+J128+J129+J130+J131+J132+J133+J134</f>
        <v>17203.039999999997</v>
      </c>
      <c r="K98" s="49">
        <f>K99+K110+K111+K114+K119+K123+K126+K127+K128+K129+K130+K131+K132+K133+K134</f>
        <v>19914.88</v>
      </c>
      <c r="L98" s="218"/>
      <c r="M98" s="21"/>
    </row>
    <row r="99" spans="1:14" ht="12.75">
      <c r="A99" s="367">
        <f t="shared" si="9"/>
        <v>85</v>
      </c>
      <c r="B99" s="368"/>
      <c r="C99" s="377" t="s">
        <v>47</v>
      </c>
      <c r="D99" s="369"/>
      <c r="E99" s="85" t="s">
        <v>130</v>
      </c>
      <c r="F99" s="49">
        <f>SUM(F100:F109)</f>
        <v>0</v>
      </c>
      <c r="G99" s="50">
        <f t="shared" si="8"/>
        <v>10803.77</v>
      </c>
      <c r="H99" s="49">
        <f>SUM(H100:H109)</f>
        <v>0</v>
      </c>
      <c r="I99" s="49">
        <f>SUM(I100:I109)</f>
        <v>76</v>
      </c>
      <c r="J99" s="209">
        <f>SUM(J100:J109)</f>
        <v>3230.08</v>
      </c>
      <c r="K99" s="49">
        <f>SUM(K100:K109)</f>
        <v>7497.69</v>
      </c>
      <c r="L99" s="218"/>
      <c r="M99" s="21"/>
      <c r="N99" s="21"/>
    </row>
    <row r="100" spans="1:14" ht="12.75">
      <c r="A100" s="367">
        <f t="shared" si="9"/>
        <v>86</v>
      </c>
      <c r="B100" s="368"/>
      <c r="C100" s="368"/>
      <c r="D100" s="379" t="s">
        <v>47</v>
      </c>
      <c r="E100" s="66" t="s">
        <v>186</v>
      </c>
      <c r="F100" s="79">
        <f aca="true" t="shared" si="15" ref="F100:F109">+F216+F332+F564+F448</f>
        <v>0</v>
      </c>
      <c r="G100" s="79">
        <f t="shared" si="8"/>
        <v>156.74</v>
      </c>
      <c r="H100" s="79">
        <f aca="true" t="shared" si="16" ref="H100:K109">+H216+H332+H564+H448</f>
        <v>0</v>
      </c>
      <c r="I100" s="79">
        <f t="shared" si="16"/>
        <v>0</v>
      </c>
      <c r="J100" s="450">
        <f t="shared" si="16"/>
        <v>69.02</v>
      </c>
      <c r="K100" s="79">
        <f t="shared" si="16"/>
        <v>87.72</v>
      </c>
      <c r="L100" s="218"/>
      <c r="M100" s="21"/>
      <c r="N100" s="21"/>
    </row>
    <row r="101" spans="1:14" ht="12.75">
      <c r="A101" s="367">
        <f t="shared" si="9"/>
        <v>87</v>
      </c>
      <c r="B101" s="368"/>
      <c r="C101" s="368"/>
      <c r="D101" s="379" t="s">
        <v>80</v>
      </c>
      <c r="E101" s="66" t="s">
        <v>187</v>
      </c>
      <c r="F101" s="79">
        <f t="shared" si="15"/>
        <v>0</v>
      </c>
      <c r="G101" s="79">
        <f t="shared" si="8"/>
        <v>163.36</v>
      </c>
      <c r="H101" s="79">
        <f t="shared" si="16"/>
        <v>0</v>
      </c>
      <c r="I101" s="79">
        <f t="shared" si="16"/>
        <v>0</v>
      </c>
      <c r="J101" s="450">
        <f t="shared" si="16"/>
        <v>71.3</v>
      </c>
      <c r="K101" s="79">
        <f t="shared" si="16"/>
        <v>92.06</v>
      </c>
      <c r="L101" s="218"/>
      <c r="M101" s="21"/>
      <c r="N101" s="21"/>
    </row>
    <row r="102" spans="1:14" ht="12.75">
      <c r="A102" s="367">
        <f t="shared" si="9"/>
        <v>88</v>
      </c>
      <c r="B102" s="368"/>
      <c r="C102" s="368"/>
      <c r="D102" s="379" t="s">
        <v>84</v>
      </c>
      <c r="E102" s="66" t="s">
        <v>188</v>
      </c>
      <c r="F102" s="79">
        <f t="shared" si="15"/>
        <v>0</v>
      </c>
      <c r="G102" s="79">
        <f t="shared" si="8"/>
        <v>2979.17</v>
      </c>
      <c r="H102" s="79">
        <f t="shared" si="16"/>
        <v>0</v>
      </c>
      <c r="I102" s="79">
        <f t="shared" si="16"/>
        <v>0</v>
      </c>
      <c r="J102" s="450">
        <f t="shared" si="16"/>
        <v>832.88</v>
      </c>
      <c r="K102" s="79">
        <f t="shared" si="16"/>
        <v>2146.29</v>
      </c>
      <c r="L102" s="218"/>
      <c r="M102" s="21"/>
      <c r="N102" s="21"/>
    </row>
    <row r="103" spans="1:14" ht="12.75">
      <c r="A103" s="367">
        <f t="shared" si="9"/>
        <v>89</v>
      </c>
      <c r="B103" s="368"/>
      <c r="C103" s="368"/>
      <c r="D103" s="379" t="s">
        <v>108</v>
      </c>
      <c r="E103" s="66" t="s">
        <v>189</v>
      </c>
      <c r="F103" s="79">
        <f t="shared" si="15"/>
        <v>0</v>
      </c>
      <c r="G103" s="79">
        <f t="shared" si="8"/>
        <v>929.1</v>
      </c>
      <c r="H103" s="79">
        <f t="shared" si="16"/>
        <v>0</v>
      </c>
      <c r="I103" s="79">
        <f t="shared" si="16"/>
        <v>0</v>
      </c>
      <c r="J103" s="450">
        <f t="shared" si="16"/>
        <v>428.12</v>
      </c>
      <c r="K103" s="79">
        <f t="shared" si="16"/>
        <v>500.98</v>
      </c>
      <c r="L103" s="218"/>
      <c r="M103" s="21"/>
      <c r="N103" s="21"/>
    </row>
    <row r="104" spans="1:14" ht="12.75">
      <c r="A104" s="367">
        <f t="shared" si="9"/>
        <v>90</v>
      </c>
      <c r="B104" s="368"/>
      <c r="C104" s="368"/>
      <c r="D104" s="379" t="s">
        <v>41</v>
      </c>
      <c r="E104" s="66" t="s">
        <v>190</v>
      </c>
      <c r="F104" s="79">
        <f t="shared" si="15"/>
        <v>0</v>
      </c>
      <c r="G104" s="79">
        <f t="shared" si="8"/>
        <v>50</v>
      </c>
      <c r="H104" s="79">
        <f t="shared" si="16"/>
        <v>0</v>
      </c>
      <c r="I104" s="79">
        <f t="shared" si="16"/>
        <v>0</v>
      </c>
      <c r="J104" s="450">
        <f t="shared" si="16"/>
        <v>25</v>
      </c>
      <c r="K104" s="79">
        <f t="shared" si="16"/>
        <v>25</v>
      </c>
      <c r="L104" s="218"/>
      <c r="M104" s="21"/>
      <c r="N104" s="21"/>
    </row>
    <row r="105" spans="1:14" ht="12.75">
      <c r="A105" s="367">
        <f t="shared" si="9"/>
        <v>91</v>
      </c>
      <c r="B105" s="368"/>
      <c r="C105" s="368"/>
      <c r="D105" s="379" t="s">
        <v>154</v>
      </c>
      <c r="E105" s="66" t="s">
        <v>191</v>
      </c>
      <c r="F105" s="79">
        <f t="shared" si="15"/>
        <v>0</v>
      </c>
      <c r="G105" s="79">
        <f t="shared" si="8"/>
        <v>585.64</v>
      </c>
      <c r="H105" s="79">
        <f t="shared" si="16"/>
        <v>0</v>
      </c>
      <c r="I105" s="79">
        <f t="shared" si="16"/>
        <v>0</v>
      </c>
      <c r="J105" s="450">
        <f t="shared" si="16"/>
        <v>277.55</v>
      </c>
      <c r="K105" s="79">
        <f t="shared" si="16"/>
        <v>308.09</v>
      </c>
      <c r="L105" s="218"/>
      <c r="M105" s="21"/>
      <c r="N105" s="21"/>
    </row>
    <row r="106" spans="1:14" ht="12.75">
      <c r="A106" s="367">
        <f t="shared" si="9"/>
        <v>92</v>
      </c>
      <c r="B106" s="368"/>
      <c r="C106" s="368"/>
      <c r="D106" s="379" t="s">
        <v>157</v>
      </c>
      <c r="E106" s="66" t="s">
        <v>192</v>
      </c>
      <c r="F106" s="79">
        <f t="shared" si="15"/>
        <v>0</v>
      </c>
      <c r="G106" s="79">
        <f t="shared" si="8"/>
        <v>157.09</v>
      </c>
      <c r="H106" s="79">
        <f t="shared" si="16"/>
        <v>0</v>
      </c>
      <c r="I106" s="79">
        <f t="shared" si="16"/>
        <v>0</v>
      </c>
      <c r="J106" s="450">
        <f t="shared" si="16"/>
        <v>79.31</v>
      </c>
      <c r="K106" s="79">
        <f t="shared" si="16"/>
        <v>77.78</v>
      </c>
      <c r="L106" s="218"/>
      <c r="M106" s="21"/>
      <c r="N106" s="21"/>
    </row>
    <row r="107" spans="1:14" ht="12.75">
      <c r="A107" s="367">
        <f t="shared" si="9"/>
        <v>93</v>
      </c>
      <c r="B107" s="368"/>
      <c r="C107" s="368"/>
      <c r="D107" s="379" t="s">
        <v>65</v>
      </c>
      <c r="E107" s="66" t="s">
        <v>193</v>
      </c>
      <c r="F107" s="79">
        <f t="shared" si="15"/>
        <v>0</v>
      </c>
      <c r="G107" s="79">
        <f t="shared" si="8"/>
        <v>106.01999999999998</v>
      </c>
      <c r="H107" s="79">
        <f t="shared" si="16"/>
        <v>0</v>
      </c>
      <c r="I107" s="79">
        <f t="shared" si="16"/>
        <v>0</v>
      </c>
      <c r="J107" s="450">
        <f t="shared" si="16"/>
        <v>138.01</v>
      </c>
      <c r="K107" s="79">
        <f t="shared" si="16"/>
        <v>-31.99000000000001</v>
      </c>
      <c r="L107" s="218"/>
      <c r="M107" s="21"/>
      <c r="N107" s="21"/>
    </row>
    <row r="108" spans="1:14" ht="12.75">
      <c r="A108" s="367">
        <f t="shared" si="9"/>
        <v>94</v>
      </c>
      <c r="B108" s="368"/>
      <c r="C108" s="368"/>
      <c r="D108" s="379" t="s">
        <v>160</v>
      </c>
      <c r="E108" s="66" t="s">
        <v>194</v>
      </c>
      <c r="F108" s="79">
        <f t="shared" si="15"/>
        <v>0</v>
      </c>
      <c r="G108" s="79">
        <f t="shared" si="8"/>
        <v>106.44</v>
      </c>
      <c r="H108" s="79">
        <f t="shared" si="16"/>
        <v>0</v>
      </c>
      <c r="I108" s="79">
        <f t="shared" si="16"/>
        <v>0</v>
      </c>
      <c r="J108" s="450">
        <f t="shared" si="16"/>
        <v>46.78</v>
      </c>
      <c r="K108" s="79">
        <f t="shared" si="16"/>
        <v>59.660000000000004</v>
      </c>
      <c r="L108" s="218"/>
      <c r="M108" s="21"/>
      <c r="N108" s="21"/>
    </row>
    <row r="109" spans="1:14" ht="12.75">
      <c r="A109" s="367">
        <f t="shared" si="9"/>
        <v>95</v>
      </c>
      <c r="B109" s="368"/>
      <c r="C109" s="368"/>
      <c r="D109" s="369">
        <v>30</v>
      </c>
      <c r="E109" s="66" t="s">
        <v>195</v>
      </c>
      <c r="F109" s="79">
        <f t="shared" si="15"/>
        <v>0</v>
      </c>
      <c r="G109" s="79">
        <f t="shared" si="8"/>
        <v>5570.209999999999</v>
      </c>
      <c r="H109" s="79">
        <f t="shared" si="16"/>
        <v>0</v>
      </c>
      <c r="I109" s="79">
        <f t="shared" si="16"/>
        <v>76</v>
      </c>
      <c r="J109" s="450">
        <f t="shared" si="16"/>
        <v>1262.1100000000001</v>
      </c>
      <c r="K109" s="79">
        <f t="shared" si="16"/>
        <v>4232.099999999999</v>
      </c>
      <c r="L109" s="218"/>
      <c r="M109" s="21"/>
      <c r="N109" s="21"/>
    </row>
    <row r="110" spans="1:14" ht="12.75">
      <c r="A110" s="367">
        <f t="shared" si="9"/>
        <v>96</v>
      </c>
      <c r="B110" s="368"/>
      <c r="C110" s="377" t="s">
        <v>80</v>
      </c>
      <c r="D110" s="369"/>
      <c r="E110" s="85" t="s">
        <v>196</v>
      </c>
      <c r="F110" s="49">
        <f>+F226+F342+F458+F574</f>
        <v>0</v>
      </c>
      <c r="G110" s="50">
        <f t="shared" si="8"/>
        <v>651.46</v>
      </c>
      <c r="H110" s="49">
        <f>+H226+H342+H458+H574</f>
        <v>0</v>
      </c>
      <c r="I110" s="49">
        <f>+I226+I342+I458+I574</f>
        <v>0</v>
      </c>
      <c r="J110" s="209">
        <f>+J226+J342+J458+J574</f>
        <v>392.28000000000003</v>
      </c>
      <c r="K110" s="49">
        <f>+K226+K342+K458+K574</f>
        <v>259.18</v>
      </c>
      <c r="L110" s="218"/>
      <c r="M110" s="21"/>
      <c r="N110" s="21"/>
    </row>
    <row r="111" spans="1:14" ht="12.75">
      <c r="A111" s="367">
        <f t="shared" si="9"/>
        <v>97</v>
      </c>
      <c r="B111" s="368"/>
      <c r="C111" s="377" t="s">
        <v>84</v>
      </c>
      <c r="D111" s="369"/>
      <c r="E111" s="85" t="s">
        <v>197</v>
      </c>
      <c r="F111" s="49">
        <f>F112+F113</f>
        <v>0</v>
      </c>
      <c r="G111" s="50">
        <f t="shared" si="8"/>
        <v>3075.26</v>
      </c>
      <c r="H111" s="49">
        <f>H112+H113</f>
        <v>0</v>
      </c>
      <c r="I111" s="49">
        <f>I112+I113</f>
        <v>0</v>
      </c>
      <c r="J111" s="209">
        <f>J112+J113</f>
        <v>725.26</v>
      </c>
      <c r="K111" s="49">
        <f>K112+K113</f>
        <v>2350</v>
      </c>
      <c r="L111" s="218"/>
      <c r="M111" s="21"/>
      <c r="N111" s="21"/>
    </row>
    <row r="112" spans="1:14" ht="12.75">
      <c r="A112" s="367">
        <f t="shared" si="9"/>
        <v>98</v>
      </c>
      <c r="B112" s="368"/>
      <c r="C112" s="368"/>
      <c r="D112" s="379" t="s">
        <v>47</v>
      </c>
      <c r="E112" s="66" t="s">
        <v>198</v>
      </c>
      <c r="F112" s="79">
        <f>+F228+F344+F576+F460</f>
        <v>0</v>
      </c>
      <c r="G112" s="79">
        <f t="shared" si="8"/>
        <v>3075.26</v>
      </c>
      <c r="H112" s="79">
        <f aca="true" t="shared" si="17" ref="H112:K113">+H228+H344+H576+H460</f>
        <v>0</v>
      </c>
      <c r="I112" s="79">
        <f t="shared" si="17"/>
        <v>0</v>
      </c>
      <c r="J112" s="450">
        <f t="shared" si="17"/>
        <v>725.26</v>
      </c>
      <c r="K112" s="79">
        <f t="shared" si="17"/>
        <v>2350</v>
      </c>
      <c r="L112" s="218"/>
      <c r="M112" s="21"/>
      <c r="N112" s="21"/>
    </row>
    <row r="113" spans="1:14" ht="12.75">
      <c r="A113" s="367">
        <f t="shared" si="9"/>
        <v>99</v>
      </c>
      <c r="B113" s="368"/>
      <c r="C113" s="368"/>
      <c r="D113" s="379" t="s">
        <v>80</v>
      </c>
      <c r="E113" s="66" t="s">
        <v>199</v>
      </c>
      <c r="F113" s="79">
        <f>+F229+F345+F577+F461</f>
        <v>0</v>
      </c>
      <c r="G113" s="79">
        <f t="shared" si="8"/>
        <v>0</v>
      </c>
      <c r="H113" s="79">
        <f t="shared" si="17"/>
        <v>0</v>
      </c>
      <c r="I113" s="79">
        <f t="shared" si="17"/>
        <v>0</v>
      </c>
      <c r="J113" s="450">
        <f t="shared" si="17"/>
        <v>0</v>
      </c>
      <c r="K113" s="79">
        <f t="shared" si="17"/>
        <v>0</v>
      </c>
      <c r="L113" s="218"/>
      <c r="M113" s="21"/>
      <c r="N113" s="21"/>
    </row>
    <row r="114" spans="1:14" ht="12.75">
      <c r="A114" s="367">
        <f t="shared" si="9"/>
        <v>100</v>
      </c>
      <c r="B114" s="368"/>
      <c r="C114" s="377" t="s">
        <v>108</v>
      </c>
      <c r="D114" s="369"/>
      <c r="E114" s="85" t="s">
        <v>200</v>
      </c>
      <c r="F114" s="49">
        <f>+F230+F346+F462+F578</f>
        <v>0</v>
      </c>
      <c r="G114" s="50">
        <f t="shared" si="8"/>
        <v>22931.940000000002</v>
      </c>
      <c r="H114" s="49">
        <f>+H230+H346+H462+H578</f>
        <v>1120</v>
      </c>
      <c r="I114" s="49">
        <f>+I230+I346+I462+I578</f>
        <v>711</v>
      </c>
      <c r="J114" s="209">
        <f>+J230+J346+J462+J578</f>
        <v>11994.98</v>
      </c>
      <c r="K114" s="49">
        <f>+K230+K346+K462+K578</f>
        <v>9105.960000000001</v>
      </c>
      <c r="L114" s="218"/>
      <c r="M114" s="21"/>
      <c r="N114" s="21"/>
    </row>
    <row r="115" spans="1:14" ht="12.75">
      <c r="A115" s="367">
        <f t="shared" si="9"/>
        <v>101</v>
      </c>
      <c r="B115" s="368"/>
      <c r="C115" s="368"/>
      <c r="D115" s="379" t="s">
        <v>47</v>
      </c>
      <c r="E115" s="66" t="s">
        <v>201</v>
      </c>
      <c r="F115" s="79">
        <f>+F231+F347+F579+F463</f>
        <v>0</v>
      </c>
      <c r="G115" s="79">
        <f t="shared" si="8"/>
        <v>13989.300000000001</v>
      </c>
      <c r="H115" s="79">
        <f aca="true" t="shared" si="18" ref="H115:K118">+H231+H347+H579+H463</f>
        <v>500</v>
      </c>
      <c r="I115" s="79">
        <f t="shared" si="18"/>
        <v>282</v>
      </c>
      <c r="J115" s="450">
        <f t="shared" si="18"/>
        <v>8779.19</v>
      </c>
      <c r="K115" s="79">
        <f t="shared" si="18"/>
        <v>4428.110000000001</v>
      </c>
      <c r="L115" s="218"/>
      <c r="M115" s="21"/>
      <c r="N115" s="21"/>
    </row>
    <row r="116" spans="1:14" ht="12.75">
      <c r="A116" s="367">
        <f t="shared" si="9"/>
        <v>102</v>
      </c>
      <c r="B116" s="368"/>
      <c r="C116" s="368"/>
      <c r="D116" s="379" t="s">
        <v>80</v>
      </c>
      <c r="E116" s="66" t="s">
        <v>202</v>
      </c>
      <c r="F116" s="79">
        <f>+F232+F348+F580+F464</f>
        <v>0</v>
      </c>
      <c r="G116" s="79">
        <f t="shared" si="8"/>
        <v>5118.9</v>
      </c>
      <c r="H116" s="79">
        <f t="shared" si="18"/>
        <v>410</v>
      </c>
      <c r="I116" s="79">
        <f t="shared" si="18"/>
        <v>300</v>
      </c>
      <c r="J116" s="450">
        <f t="shared" si="18"/>
        <v>1845.88</v>
      </c>
      <c r="K116" s="79">
        <f t="shared" si="18"/>
        <v>2563.02</v>
      </c>
      <c r="L116" s="218"/>
      <c r="M116" s="21"/>
      <c r="N116" s="21"/>
    </row>
    <row r="117" spans="1:14" ht="12.75">
      <c r="A117" s="367">
        <f t="shared" si="9"/>
        <v>103</v>
      </c>
      <c r="B117" s="368"/>
      <c r="C117" s="368"/>
      <c r="D117" s="379" t="s">
        <v>84</v>
      </c>
      <c r="E117" s="66" t="s">
        <v>203</v>
      </c>
      <c r="F117" s="79">
        <f>+F233+F349+F581+F465</f>
        <v>0</v>
      </c>
      <c r="G117" s="79">
        <f t="shared" si="8"/>
        <v>3464.1</v>
      </c>
      <c r="H117" s="79">
        <f t="shared" si="18"/>
        <v>210</v>
      </c>
      <c r="I117" s="79">
        <f t="shared" si="18"/>
        <v>129</v>
      </c>
      <c r="J117" s="450">
        <f t="shared" si="18"/>
        <v>1200.27</v>
      </c>
      <c r="K117" s="79">
        <f t="shared" si="18"/>
        <v>1924.83</v>
      </c>
      <c r="L117" s="218"/>
      <c r="M117" s="21"/>
      <c r="N117" s="21"/>
    </row>
    <row r="118" spans="1:14" ht="12.75">
      <c r="A118" s="367">
        <f t="shared" si="9"/>
        <v>104</v>
      </c>
      <c r="B118" s="368"/>
      <c r="C118" s="368"/>
      <c r="D118" s="379" t="s">
        <v>108</v>
      </c>
      <c r="E118" s="66" t="s">
        <v>204</v>
      </c>
      <c r="F118" s="79">
        <f>+F234+F350+F582+F466</f>
        <v>0</v>
      </c>
      <c r="G118" s="79">
        <f t="shared" si="8"/>
        <v>359.64</v>
      </c>
      <c r="H118" s="79">
        <f t="shared" si="18"/>
        <v>0</v>
      </c>
      <c r="I118" s="79">
        <f t="shared" si="18"/>
        <v>0</v>
      </c>
      <c r="J118" s="450">
        <f t="shared" si="18"/>
        <v>169.64</v>
      </c>
      <c r="K118" s="79">
        <f t="shared" si="18"/>
        <v>190</v>
      </c>
      <c r="L118" s="218"/>
      <c r="M118" s="21"/>
      <c r="N118" s="21"/>
    </row>
    <row r="119" spans="1:14" ht="12.75">
      <c r="A119" s="367">
        <f t="shared" si="9"/>
        <v>105</v>
      </c>
      <c r="B119" s="368"/>
      <c r="C119" s="377" t="s">
        <v>41</v>
      </c>
      <c r="D119" s="369"/>
      <c r="E119" s="85" t="s">
        <v>205</v>
      </c>
      <c r="F119" s="49">
        <f>F120+F121+F122</f>
        <v>0</v>
      </c>
      <c r="G119" s="50">
        <f t="shared" si="8"/>
        <v>530.6899999999999</v>
      </c>
      <c r="H119" s="49">
        <f>H120+H121+H122</f>
        <v>0</v>
      </c>
      <c r="I119" s="49">
        <f>I120+I121+I122</f>
        <v>0</v>
      </c>
      <c r="J119" s="209">
        <f>J120+J121+J122</f>
        <v>687.79</v>
      </c>
      <c r="K119" s="49">
        <f>K120+K121+K122</f>
        <v>-157.10000000000002</v>
      </c>
      <c r="L119" s="218"/>
      <c r="M119" s="21"/>
      <c r="N119" s="21"/>
    </row>
    <row r="120" spans="1:14" ht="12.75">
      <c r="A120" s="367">
        <f t="shared" si="9"/>
        <v>106</v>
      </c>
      <c r="B120" s="368"/>
      <c r="C120" s="368"/>
      <c r="D120" s="379" t="s">
        <v>47</v>
      </c>
      <c r="E120" s="66" t="s">
        <v>206</v>
      </c>
      <c r="F120" s="79">
        <f>+F236+F352+F584+F468</f>
        <v>0</v>
      </c>
      <c r="G120" s="79">
        <f t="shared" si="8"/>
        <v>67.57</v>
      </c>
      <c r="H120" s="79">
        <f aca="true" t="shared" si="19" ref="H120:K122">+H236+H352+H584+H468</f>
        <v>0</v>
      </c>
      <c r="I120" s="79">
        <f t="shared" si="19"/>
        <v>0</v>
      </c>
      <c r="J120" s="450">
        <f t="shared" si="19"/>
        <v>32.57</v>
      </c>
      <c r="K120" s="79">
        <f t="shared" si="19"/>
        <v>35</v>
      </c>
      <c r="L120" s="218"/>
      <c r="M120" s="21"/>
      <c r="N120" s="21"/>
    </row>
    <row r="121" spans="1:14" ht="12.75">
      <c r="A121" s="367">
        <f t="shared" si="9"/>
        <v>107</v>
      </c>
      <c r="B121" s="368"/>
      <c r="C121" s="368"/>
      <c r="D121" s="379" t="s">
        <v>84</v>
      </c>
      <c r="E121" s="66" t="s">
        <v>207</v>
      </c>
      <c r="F121" s="79">
        <f>+F237+F353+F585+F469</f>
        <v>0</v>
      </c>
      <c r="G121" s="79">
        <f t="shared" si="8"/>
        <v>103.65</v>
      </c>
      <c r="H121" s="79">
        <f t="shared" si="19"/>
        <v>0</v>
      </c>
      <c r="I121" s="79">
        <f t="shared" si="19"/>
        <v>0</v>
      </c>
      <c r="J121" s="450">
        <f t="shared" si="19"/>
        <v>28.34</v>
      </c>
      <c r="K121" s="79">
        <f t="shared" si="19"/>
        <v>75.31</v>
      </c>
      <c r="L121" s="218"/>
      <c r="M121" s="21"/>
      <c r="N121" s="21"/>
    </row>
    <row r="122" spans="1:14" ht="12.75">
      <c r="A122" s="367">
        <f t="shared" si="9"/>
        <v>108</v>
      </c>
      <c r="B122" s="368"/>
      <c r="C122" s="368"/>
      <c r="D122" s="369">
        <v>30</v>
      </c>
      <c r="E122" s="66" t="s">
        <v>208</v>
      </c>
      <c r="F122" s="79">
        <f>+F238+F354+F586+F470</f>
        <v>0</v>
      </c>
      <c r="G122" s="79">
        <f t="shared" si="8"/>
        <v>359.46999999999997</v>
      </c>
      <c r="H122" s="79">
        <f t="shared" si="19"/>
        <v>0</v>
      </c>
      <c r="I122" s="79">
        <f t="shared" si="19"/>
        <v>0</v>
      </c>
      <c r="J122" s="450">
        <f t="shared" si="19"/>
        <v>626.88</v>
      </c>
      <c r="K122" s="79">
        <f t="shared" si="19"/>
        <v>-267.41</v>
      </c>
      <c r="L122" s="218"/>
      <c r="M122" s="21"/>
      <c r="N122" s="21"/>
    </row>
    <row r="123" spans="1:14" ht="12.75">
      <c r="A123" s="367">
        <f t="shared" si="9"/>
        <v>109</v>
      </c>
      <c r="B123" s="368"/>
      <c r="C123" s="377" t="s">
        <v>154</v>
      </c>
      <c r="D123" s="369"/>
      <c r="E123" s="85" t="s">
        <v>209</v>
      </c>
      <c r="F123" s="49">
        <f>F124+F125</f>
        <v>0</v>
      </c>
      <c r="G123" s="50">
        <f t="shared" si="8"/>
        <v>31.42</v>
      </c>
      <c r="H123" s="49">
        <f>H124+H125</f>
        <v>0</v>
      </c>
      <c r="I123" s="49">
        <f>I124+I125</f>
        <v>3</v>
      </c>
      <c r="J123" s="209">
        <f>J124+J125</f>
        <v>15.21</v>
      </c>
      <c r="K123" s="49">
        <f>K124+K125</f>
        <v>13.21</v>
      </c>
      <c r="L123" s="218"/>
      <c r="M123" s="21"/>
      <c r="N123" s="21"/>
    </row>
    <row r="124" spans="1:14" ht="12.75">
      <c r="A124" s="367">
        <f t="shared" si="9"/>
        <v>110</v>
      </c>
      <c r="B124" s="368"/>
      <c r="C124" s="368"/>
      <c r="D124" s="379" t="s">
        <v>47</v>
      </c>
      <c r="E124" s="66" t="s">
        <v>210</v>
      </c>
      <c r="F124" s="79">
        <f>+F240+F356+F588+F472</f>
        <v>0</v>
      </c>
      <c r="G124" s="79">
        <f t="shared" si="8"/>
        <v>25</v>
      </c>
      <c r="H124" s="79">
        <f aca="true" t="shared" si="20" ref="H124:K125">+H240+H356+H588+H472</f>
        <v>0</v>
      </c>
      <c r="I124" s="79">
        <f t="shared" si="20"/>
        <v>3</v>
      </c>
      <c r="J124" s="450">
        <f t="shared" si="20"/>
        <v>12</v>
      </c>
      <c r="K124" s="79">
        <f t="shared" si="20"/>
        <v>10</v>
      </c>
      <c r="L124" s="218"/>
      <c r="M124" s="21"/>
      <c r="N124" s="21"/>
    </row>
    <row r="125" spans="1:14" ht="12.75">
      <c r="A125" s="367">
        <f t="shared" si="9"/>
        <v>111</v>
      </c>
      <c r="B125" s="368"/>
      <c r="C125" s="368"/>
      <c r="D125" s="379" t="s">
        <v>80</v>
      </c>
      <c r="E125" s="66" t="s">
        <v>211</v>
      </c>
      <c r="F125" s="79">
        <f>+F241+F357+F589+F473</f>
        <v>0</v>
      </c>
      <c r="G125" s="79">
        <f t="shared" si="8"/>
        <v>6.42</v>
      </c>
      <c r="H125" s="79">
        <f t="shared" si="20"/>
        <v>0</v>
      </c>
      <c r="I125" s="79">
        <f t="shared" si="20"/>
        <v>0</v>
      </c>
      <c r="J125" s="450">
        <f t="shared" si="20"/>
        <v>3.21</v>
      </c>
      <c r="K125" s="79">
        <f t="shared" si="20"/>
        <v>3.21</v>
      </c>
      <c r="L125" s="218"/>
      <c r="M125" s="21"/>
      <c r="N125" s="21"/>
    </row>
    <row r="126" spans="1:14" ht="12.75">
      <c r="A126" s="367">
        <f t="shared" si="9"/>
        <v>112</v>
      </c>
      <c r="B126" s="368"/>
      <c r="C126" s="377" t="s">
        <v>160</v>
      </c>
      <c r="D126" s="369"/>
      <c r="E126" s="59" t="s">
        <v>212</v>
      </c>
      <c r="F126" s="49">
        <f aca="true" t="shared" si="21" ref="F126:F133">+F242+F358+F474+F590</f>
        <v>0</v>
      </c>
      <c r="G126" s="50">
        <f aca="true" t="shared" si="22" ref="G126:G189">H126+I126+J126+K126</f>
        <v>328.61</v>
      </c>
      <c r="H126" s="49">
        <f aca="true" t="shared" si="23" ref="H126:K133">+H242+H358+H474+H590</f>
        <v>0</v>
      </c>
      <c r="I126" s="49">
        <f t="shared" si="23"/>
        <v>0</v>
      </c>
      <c r="J126" s="209">
        <f t="shared" si="23"/>
        <v>111.67</v>
      </c>
      <c r="K126" s="49">
        <f t="shared" si="23"/>
        <v>216.94</v>
      </c>
      <c r="L126" s="218"/>
      <c r="M126" s="21"/>
      <c r="N126" s="21"/>
    </row>
    <row r="127" spans="1:13" ht="12.75">
      <c r="A127" s="367">
        <f t="shared" si="9"/>
        <v>113</v>
      </c>
      <c r="B127" s="368"/>
      <c r="C127" s="368">
        <v>10</v>
      </c>
      <c r="D127" s="369"/>
      <c r="E127" s="59" t="s">
        <v>213</v>
      </c>
      <c r="F127" s="49">
        <f t="shared" si="21"/>
        <v>0</v>
      </c>
      <c r="G127" s="50">
        <f t="shared" si="22"/>
        <v>0</v>
      </c>
      <c r="H127" s="49">
        <f t="shared" si="23"/>
        <v>0</v>
      </c>
      <c r="I127" s="49">
        <f t="shared" si="23"/>
        <v>0</v>
      </c>
      <c r="J127" s="209">
        <f t="shared" si="23"/>
        <v>0</v>
      </c>
      <c r="K127" s="49">
        <f t="shared" si="23"/>
        <v>0</v>
      </c>
      <c r="L127" s="218"/>
      <c r="M127" s="21"/>
    </row>
    <row r="128" spans="1:14" ht="12.75">
      <c r="A128" s="367">
        <f aca="true" t="shared" si="24" ref="A128:A163">A127+1</f>
        <v>114</v>
      </c>
      <c r="B128" s="368"/>
      <c r="C128" s="368">
        <v>11</v>
      </c>
      <c r="D128" s="369"/>
      <c r="E128" s="59" t="s">
        <v>214</v>
      </c>
      <c r="F128" s="49">
        <f t="shared" si="21"/>
        <v>0</v>
      </c>
      <c r="G128" s="50">
        <f t="shared" si="22"/>
        <v>1.11</v>
      </c>
      <c r="H128" s="49">
        <f t="shared" si="23"/>
        <v>0</v>
      </c>
      <c r="I128" s="49">
        <f t="shared" si="23"/>
        <v>0</v>
      </c>
      <c r="J128" s="209">
        <f t="shared" si="23"/>
        <v>1.11</v>
      </c>
      <c r="K128" s="49">
        <f t="shared" si="23"/>
        <v>0</v>
      </c>
      <c r="L128" s="218"/>
      <c r="M128" s="21"/>
      <c r="N128" s="21"/>
    </row>
    <row r="129" spans="1:13" ht="12.75">
      <c r="A129" s="367">
        <f t="shared" si="24"/>
        <v>115</v>
      </c>
      <c r="B129" s="368"/>
      <c r="C129" s="368">
        <v>12</v>
      </c>
      <c r="D129" s="369"/>
      <c r="E129" s="59" t="s">
        <v>215</v>
      </c>
      <c r="F129" s="49">
        <f t="shared" si="21"/>
        <v>0</v>
      </c>
      <c r="G129" s="50">
        <f t="shared" si="22"/>
        <v>0</v>
      </c>
      <c r="H129" s="49">
        <f t="shared" si="23"/>
        <v>0</v>
      </c>
      <c r="I129" s="49">
        <f t="shared" si="23"/>
        <v>0</v>
      </c>
      <c r="J129" s="209">
        <f t="shared" si="23"/>
        <v>0</v>
      </c>
      <c r="K129" s="49">
        <f t="shared" si="23"/>
        <v>0</v>
      </c>
      <c r="L129" s="218"/>
      <c r="M129" s="21"/>
    </row>
    <row r="130" spans="1:13" ht="12.75">
      <c r="A130" s="367">
        <f t="shared" si="24"/>
        <v>116</v>
      </c>
      <c r="B130" s="368"/>
      <c r="C130" s="368">
        <v>13</v>
      </c>
      <c r="D130" s="369"/>
      <c r="E130" s="59" t="s">
        <v>216</v>
      </c>
      <c r="F130" s="49">
        <f t="shared" si="21"/>
        <v>0</v>
      </c>
      <c r="G130" s="50">
        <f t="shared" si="22"/>
        <v>13</v>
      </c>
      <c r="H130" s="49">
        <f t="shared" si="23"/>
        <v>0</v>
      </c>
      <c r="I130" s="49">
        <f t="shared" si="23"/>
        <v>0</v>
      </c>
      <c r="J130" s="209">
        <f t="shared" si="23"/>
        <v>5</v>
      </c>
      <c r="K130" s="49">
        <f t="shared" si="23"/>
        <v>8</v>
      </c>
      <c r="L130" s="218"/>
      <c r="M130" s="21"/>
    </row>
    <row r="131" spans="1:13" ht="12.75">
      <c r="A131" s="367">
        <f t="shared" si="24"/>
        <v>117</v>
      </c>
      <c r="B131" s="368"/>
      <c r="C131" s="368">
        <v>14</v>
      </c>
      <c r="D131" s="369"/>
      <c r="E131" s="59" t="s">
        <v>217</v>
      </c>
      <c r="F131" s="49">
        <f t="shared" si="21"/>
        <v>0</v>
      </c>
      <c r="G131" s="50">
        <f t="shared" si="22"/>
        <v>0</v>
      </c>
      <c r="H131" s="49">
        <f t="shared" si="23"/>
        <v>0</v>
      </c>
      <c r="I131" s="49">
        <f t="shared" si="23"/>
        <v>0</v>
      </c>
      <c r="J131" s="209">
        <f t="shared" si="23"/>
        <v>0</v>
      </c>
      <c r="K131" s="49">
        <f t="shared" si="23"/>
        <v>0</v>
      </c>
      <c r="L131" s="218"/>
      <c r="M131" s="21"/>
    </row>
    <row r="132" spans="1:13" ht="12.75">
      <c r="A132" s="367">
        <f t="shared" si="24"/>
        <v>118</v>
      </c>
      <c r="B132" s="368"/>
      <c r="C132" s="368">
        <v>25</v>
      </c>
      <c r="D132" s="369"/>
      <c r="E132" s="59" t="s">
        <v>218</v>
      </c>
      <c r="F132" s="49">
        <f t="shared" si="21"/>
        <v>0</v>
      </c>
      <c r="G132" s="50">
        <f t="shared" si="22"/>
        <v>0</v>
      </c>
      <c r="H132" s="49">
        <f t="shared" si="23"/>
        <v>0</v>
      </c>
      <c r="I132" s="49">
        <f t="shared" si="23"/>
        <v>0</v>
      </c>
      <c r="J132" s="209">
        <f t="shared" si="23"/>
        <v>0</v>
      </c>
      <c r="K132" s="49">
        <f t="shared" si="23"/>
        <v>0</v>
      </c>
      <c r="L132" s="218"/>
      <c r="M132" s="21"/>
    </row>
    <row r="133" spans="1:13" ht="12.75">
      <c r="A133" s="367">
        <f t="shared" si="24"/>
        <v>119</v>
      </c>
      <c r="B133" s="368"/>
      <c r="C133" s="368">
        <v>27</v>
      </c>
      <c r="D133" s="369"/>
      <c r="E133" s="59" t="s">
        <v>219</v>
      </c>
      <c r="F133" s="49">
        <f t="shared" si="21"/>
        <v>0</v>
      </c>
      <c r="G133" s="50">
        <f t="shared" si="22"/>
        <v>0</v>
      </c>
      <c r="H133" s="49">
        <f t="shared" si="23"/>
        <v>0</v>
      </c>
      <c r="I133" s="49">
        <f t="shared" si="23"/>
        <v>0</v>
      </c>
      <c r="J133" s="209">
        <f t="shared" si="23"/>
        <v>0</v>
      </c>
      <c r="K133" s="49">
        <f t="shared" si="23"/>
        <v>0</v>
      </c>
      <c r="L133" s="218"/>
      <c r="M133" s="21"/>
    </row>
    <row r="134" spans="1:14" ht="12.75">
      <c r="A134" s="367">
        <f t="shared" si="24"/>
        <v>120</v>
      </c>
      <c r="B134" s="368"/>
      <c r="C134" s="368">
        <v>30</v>
      </c>
      <c r="D134" s="369"/>
      <c r="E134" s="59" t="s">
        <v>120</v>
      </c>
      <c r="F134" s="49">
        <f>F135+F136+F137+F138+F139</f>
        <v>0</v>
      </c>
      <c r="G134" s="50">
        <f t="shared" si="22"/>
        <v>660.66</v>
      </c>
      <c r="H134" s="49">
        <f>H135+H136+H137+H138+H139</f>
        <v>0</v>
      </c>
      <c r="I134" s="49">
        <f>I135+I136+I137+I138+I139</f>
        <v>0</v>
      </c>
      <c r="J134" s="209">
        <f>J135+J136+J137+J138+J139</f>
        <v>39.66</v>
      </c>
      <c r="K134" s="49">
        <f>K135+K136+K137+K138+K139</f>
        <v>621</v>
      </c>
      <c r="L134" s="218"/>
      <c r="M134" s="21"/>
      <c r="N134" s="21"/>
    </row>
    <row r="135" spans="1:13" ht="12.75">
      <c r="A135" s="367">
        <f t="shared" si="24"/>
        <v>121</v>
      </c>
      <c r="B135" s="368"/>
      <c r="C135" s="368"/>
      <c r="D135" s="379" t="s">
        <v>47</v>
      </c>
      <c r="E135" s="66" t="s">
        <v>220</v>
      </c>
      <c r="F135" s="79">
        <f aca="true" t="shared" si="25" ref="F135:F140">+F251+F367+F483+F599</f>
        <v>0</v>
      </c>
      <c r="G135" s="79">
        <f t="shared" si="22"/>
        <v>0</v>
      </c>
      <c r="H135" s="79">
        <f aca="true" t="shared" si="26" ref="H135:K140">+H251+H367+H483+H599</f>
        <v>0</v>
      </c>
      <c r="I135" s="79">
        <f t="shared" si="26"/>
        <v>0</v>
      </c>
      <c r="J135" s="450">
        <f t="shared" si="26"/>
        <v>0</v>
      </c>
      <c r="K135" s="79">
        <f t="shared" si="26"/>
        <v>0</v>
      </c>
      <c r="L135" s="218"/>
      <c r="M135" s="21"/>
    </row>
    <row r="136" spans="1:14" ht="12.75">
      <c r="A136" s="367">
        <f t="shared" si="24"/>
        <v>122</v>
      </c>
      <c r="B136" s="368"/>
      <c r="C136" s="368"/>
      <c r="D136" s="379" t="s">
        <v>84</v>
      </c>
      <c r="E136" s="66" t="s">
        <v>221</v>
      </c>
      <c r="F136" s="79">
        <f t="shared" si="25"/>
        <v>0</v>
      </c>
      <c r="G136" s="79">
        <f t="shared" si="22"/>
        <v>0</v>
      </c>
      <c r="H136" s="79">
        <f t="shared" si="26"/>
        <v>0</v>
      </c>
      <c r="I136" s="79">
        <f t="shared" si="26"/>
        <v>0</v>
      </c>
      <c r="J136" s="450">
        <f t="shared" si="26"/>
        <v>0</v>
      </c>
      <c r="K136" s="79">
        <f t="shared" si="26"/>
        <v>0</v>
      </c>
      <c r="L136" s="218"/>
      <c r="M136" s="21"/>
      <c r="N136" s="21"/>
    </row>
    <row r="137" spans="1:13" ht="12.75">
      <c r="A137" s="367">
        <f t="shared" si="24"/>
        <v>123</v>
      </c>
      <c r="B137" s="368"/>
      <c r="C137" s="368"/>
      <c r="D137" s="379" t="s">
        <v>108</v>
      </c>
      <c r="E137" s="66" t="s">
        <v>222</v>
      </c>
      <c r="F137" s="79">
        <f t="shared" si="25"/>
        <v>0</v>
      </c>
      <c r="G137" s="79">
        <f t="shared" si="22"/>
        <v>658</v>
      </c>
      <c r="H137" s="79">
        <f t="shared" si="26"/>
        <v>0</v>
      </c>
      <c r="I137" s="79">
        <f t="shared" si="26"/>
        <v>0</v>
      </c>
      <c r="J137" s="450">
        <f t="shared" si="26"/>
        <v>38</v>
      </c>
      <c r="K137" s="79">
        <f t="shared" si="26"/>
        <v>620</v>
      </c>
      <c r="L137" s="218"/>
      <c r="M137" s="21"/>
    </row>
    <row r="138" spans="1:13" ht="12.75">
      <c r="A138" s="367">
        <f t="shared" si="24"/>
        <v>124</v>
      </c>
      <c r="B138" s="368"/>
      <c r="C138" s="368"/>
      <c r="D138" s="379" t="s">
        <v>160</v>
      </c>
      <c r="E138" s="66" t="s">
        <v>223</v>
      </c>
      <c r="F138" s="79">
        <f t="shared" si="25"/>
        <v>0</v>
      </c>
      <c r="G138" s="79">
        <f t="shared" si="22"/>
        <v>0</v>
      </c>
      <c r="H138" s="79">
        <f t="shared" si="26"/>
        <v>0</v>
      </c>
      <c r="I138" s="79">
        <f t="shared" si="26"/>
        <v>0</v>
      </c>
      <c r="J138" s="450">
        <f t="shared" si="26"/>
        <v>0</v>
      </c>
      <c r="K138" s="79">
        <f t="shared" si="26"/>
        <v>0</v>
      </c>
      <c r="L138" s="218"/>
      <c r="M138" s="21"/>
    </row>
    <row r="139" spans="1:13" ht="12.75">
      <c r="A139" s="367">
        <f t="shared" si="24"/>
        <v>125</v>
      </c>
      <c r="B139" s="368"/>
      <c r="C139" s="368"/>
      <c r="D139" s="369">
        <v>30</v>
      </c>
      <c r="E139" s="66" t="s">
        <v>224</v>
      </c>
      <c r="F139" s="79">
        <f t="shared" si="25"/>
        <v>0</v>
      </c>
      <c r="G139" s="79">
        <f>H139+I139+J139+K139</f>
        <v>2.66</v>
      </c>
      <c r="H139" s="79">
        <f t="shared" si="26"/>
        <v>0</v>
      </c>
      <c r="I139" s="79">
        <f t="shared" si="26"/>
        <v>0</v>
      </c>
      <c r="J139" s="450">
        <f t="shared" si="26"/>
        <v>1.66</v>
      </c>
      <c r="K139" s="79">
        <f t="shared" si="26"/>
        <v>1</v>
      </c>
      <c r="L139" s="218"/>
      <c r="M139" s="21"/>
    </row>
    <row r="140" spans="1:13" ht="12.75">
      <c r="A140" s="367">
        <f t="shared" si="24"/>
        <v>126</v>
      </c>
      <c r="B140" s="395">
        <v>30</v>
      </c>
      <c r="C140" s="395"/>
      <c r="D140" s="396"/>
      <c r="E140" s="418" t="s">
        <v>225</v>
      </c>
      <c r="F140" s="452">
        <f t="shared" si="25"/>
        <v>0</v>
      </c>
      <c r="G140" s="399">
        <f t="shared" si="22"/>
        <v>0</v>
      </c>
      <c r="H140" s="452">
        <f t="shared" si="26"/>
        <v>0</v>
      </c>
      <c r="I140" s="452">
        <f t="shared" si="26"/>
        <v>0</v>
      </c>
      <c r="J140" s="453">
        <f t="shared" si="26"/>
        <v>0</v>
      </c>
      <c r="K140" s="452">
        <f t="shared" si="26"/>
        <v>0</v>
      </c>
      <c r="L140" s="218"/>
      <c r="M140" s="21"/>
    </row>
    <row r="141" spans="1:13" ht="12.75">
      <c r="A141" s="367">
        <f t="shared" si="24"/>
        <v>127</v>
      </c>
      <c r="B141" s="395"/>
      <c r="C141" s="401" t="s">
        <v>84</v>
      </c>
      <c r="D141" s="396"/>
      <c r="E141" s="418" t="s">
        <v>226</v>
      </c>
      <c r="F141" s="452">
        <f>+F256+F372+F488+F605</f>
        <v>0</v>
      </c>
      <c r="G141" s="399">
        <f t="shared" si="22"/>
        <v>0</v>
      </c>
      <c r="H141" s="452">
        <f>+H256+H372+H488+H605</f>
        <v>0</v>
      </c>
      <c r="I141" s="452">
        <f>+I256+I372+I488+I605</f>
        <v>0</v>
      </c>
      <c r="J141" s="453">
        <f>+J256+J372+J488+J605</f>
        <v>0</v>
      </c>
      <c r="K141" s="452">
        <f>+K256+K372+K488+K605</f>
        <v>0</v>
      </c>
      <c r="L141" s="218"/>
      <c r="M141" s="21"/>
    </row>
    <row r="142" spans="1:13" ht="12.75">
      <c r="A142" s="367">
        <f t="shared" si="24"/>
        <v>128</v>
      </c>
      <c r="B142" s="395"/>
      <c r="C142" s="401"/>
      <c r="D142" s="402" t="s">
        <v>41</v>
      </c>
      <c r="E142" s="419" t="s">
        <v>227</v>
      </c>
      <c r="F142" s="452">
        <f>+F258+F374+F490+F606</f>
        <v>0</v>
      </c>
      <c r="G142" s="399">
        <f t="shared" si="22"/>
        <v>0</v>
      </c>
      <c r="H142" s="452">
        <f>+H258+H374+H490+H606</f>
        <v>0</v>
      </c>
      <c r="I142" s="452">
        <f>+I258+I374+I490+I606</f>
        <v>0</v>
      </c>
      <c r="J142" s="453">
        <f>+J258+J374+J490+J606</f>
        <v>0</v>
      </c>
      <c r="K142" s="452">
        <f>+K258+K374+K490+K606</f>
        <v>0</v>
      </c>
      <c r="L142" s="218"/>
      <c r="M142" s="21"/>
    </row>
    <row r="143" spans="1:13" ht="30.75" customHeight="1">
      <c r="A143" s="367">
        <f t="shared" si="24"/>
        <v>129</v>
      </c>
      <c r="B143" s="404" t="s">
        <v>228</v>
      </c>
      <c r="C143" s="401"/>
      <c r="D143" s="402"/>
      <c r="E143" s="413" t="s">
        <v>229</v>
      </c>
      <c r="F143" s="452">
        <f>+F259+F375+F491</f>
        <v>30250</v>
      </c>
      <c r="G143" s="399">
        <f t="shared" si="22"/>
        <v>11066.53</v>
      </c>
      <c r="H143" s="452">
        <f>+H259+H375+H491</f>
        <v>0</v>
      </c>
      <c r="I143" s="452">
        <f>+I259+I375+I491</f>
        <v>0</v>
      </c>
      <c r="J143" s="453">
        <f>+J259+J375+J491</f>
        <v>10516.53</v>
      </c>
      <c r="K143" s="452">
        <f>+K259+K375+K491</f>
        <v>550</v>
      </c>
      <c r="L143" s="218"/>
      <c r="M143" s="21"/>
    </row>
    <row r="144" spans="1:13" ht="12.75">
      <c r="A144" s="367">
        <f t="shared" si="24"/>
        <v>130</v>
      </c>
      <c r="B144" s="395">
        <v>57</v>
      </c>
      <c r="C144" s="401"/>
      <c r="D144" s="402"/>
      <c r="E144" s="418" t="s">
        <v>230</v>
      </c>
      <c r="F144" s="399">
        <f aca="true" t="shared" si="27" ref="F144:K145">F145</f>
        <v>0</v>
      </c>
      <c r="G144" s="399">
        <f t="shared" si="22"/>
        <v>0</v>
      </c>
      <c r="H144" s="399">
        <f t="shared" si="27"/>
        <v>0</v>
      </c>
      <c r="I144" s="399">
        <f t="shared" si="27"/>
        <v>0</v>
      </c>
      <c r="J144" s="454">
        <f t="shared" si="27"/>
        <v>0</v>
      </c>
      <c r="K144" s="399">
        <f t="shared" si="27"/>
        <v>0</v>
      </c>
      <c r="L144" s="218"/>
      <c r="M144" s="21"/>
    </row>
    <row r="145" spans="1:13" ht="12.75">
      <c r="A145" s="367">
        <f t="shared" si="24"/>
        <v>131</v>
      </c>
      <c r="B145" s="395"/>
      <c r="C145" s="401" t="s">
        <v>47</v>
      </c>
      <c r="D145" s="402"/>
      <c r="E145" s="418" t="s">
        <v>231</v>
      </c>
      <c r="F145" s="399">
        <f t="shared" si="27"/>
        <v>0</v>
      </c>
      <c r="G145" s="399">
        <f t="shared" si="22"/>
        <v>0</v>
      </c>
      <c r="H145" s="399">
        <f t="shared" si="27"/>
        <v>0</v>
      </c>
      <c r="I145" s="399">
        <f t="shared" si="27"/>
        <v>0</v>
      </c>
      <c r="J145" s="454">
        <f t="shared" si="27"/>
        <v>0</v>
      </c>
      <c r="K145" s="399">
        <f t="shared" si="27"/>
        <v>0</v>
      </c>
      <c r="L145" s="218"/>
      <c r="M145" s="21"/>
    </row>
    <row r="146" spans="1:12" ht="12.75">
      <c r="A146" s="367">
        <f t="shared" si="24"/>
        <v>132</v>
      </c>
      <c r="B146" s="395"/>
      <c r="C146" s="401" t="s">
        <v>80</v>
      </c>
      <c r="D146" s="402"/>
      <c r="E146" s="419" t="s">
        <v>232</v>
      </c>
      <c r="F146" s="399">
        <f>F147+F148+F149+F150</f>
        <v>0</v>
      </c>
      <c r="G146" s="399">
        <f t="shared" si="22"/>
        <v>0</v>
      </c>
      <c r="H146" s="399">
        <f>H147+H148+H149+H150</f>
        <v>0</v>
      </c>
      <c r="I146" s="399">
        <f>I147+I148+I149+I150</f>
        <v>0</v>
      </c>
      <c r="J146" s="454">
        <f>J147+J148+J149+J150</f>
        <v>0</v>
      </c>
      <c r="K146" s="399">
        <f>K147+K148+K149+K150</f>
        <v>0</v>
      </c>
      <c r="L146" s="218"/>
    </row>
    <row r="147" spans="1:12" ht="12.75">
      <c r="A147" s="367">
        <f t="shared" si="24"/>
        <v>133</v>
      </c>
      <c r="B147" s="395"/>
      <c r="C147" s="401"/>
      <c r="D147" s="402" t="s">
        <v>47</v>
      </c>
      <c r="E147" s="419" t="s">
        <v>233</v>
      </c>
      <c r="F147" s="455">
        <f>+F263+F379+F495+F610</f>
        <v>0</v>
      </c>
      <c r="G147" s="399">
        <f t="shared" si="22"/>
        <v>0</v>
      </c>
      <c r="H147" s="455">
        <f aca="true" t="shared" si="28" ref="H147:K150">+H263+H379+H495+H610</f>
        <v>0</v>
      </c>
      <c r="I147" s="455">
        <f t="shared" si="28"/>
        <v>0</v>
      </c>
      <c r="J147" s="456">
        <f t="shared" si="28"/>
        <v>0</v>
      </c>
      <c r="K147" s="455">
        <f t="shared" si="28"/>
        <v>0</v>
      </c>
      <c r="L147" s="218"/>
    </row>
    <row r="148" spans="1:12" ht="12.75">
      <c r="A148" s="367">
        <f t="shared" si="24"/>
        <v>134</v>
      </c>
      <c r="B148" s="395"/>
      <c r="C148" s="401"/>
      <c r="D148" s="402" t="s">
        <v>80</v>
      </c>
      <c r="E148" s="419" t="s">
        <v>234</v>
      </c>
      <c r="F148" s="455">
        <f>+F264+F380+F496+F611</f>
        <v>0</v>
      </c>
      <c r="G148" s="399">
        <f t="shared" si="22"/>
        <v>0</v>
      </c>
      <c r="H148" s="455">
        <f t="shared" si="28"/>
        <v>0</v>
      </c>
      <c r="I148" s="455">
        <f t="shared" si="28"/>
        <v>0</v>
      </c>
      <c r="J148" s="456">
        <f t="shared" si="28"/>
        <v>0</v>
      </c>
      <c r="K148" s="455">
        <f t="shared" si="28"/>
        <v>0</v>
      </c>
      <c r="L148" s="218"/>
    </row>
    <row r="149" spans="1:12" ht="12.75">
      <c r="A149" s="367">
        <f t="shared" si="24"/>
        <v>135</v>
      </c>
      <c r="B149" s="395"/>
      <c r="C149" s="401"/>
      <c r="D149" s="402" t="s">
        <v>84</v>
      </c>
      <c r="E149" s="419" t="s">
        <v>235</v>
      </c>
      <c r="F149" s="455">
        <f>+F265+F381+F497+F612</f>
        <v>0</v>
      </c>
      <c r="G149" s="399">
        <f t="shared" si="22"/>
        <v>0</v>
      </c>
      <c r="H149" s="455">
        <f t="shared" si="28"/>
        <v>0</v>
      </c>
      <c r="I149" s="455">
        <f t="shared" si="28"/>
        <v>0</v>
      </c>
      <c r="J149" s="456">
        <f t="shared" si="28"/>
        <v>0</v>
      </c>
      <c r="K149" s="455">
        <f t="shared" si="28"/>
        <v>0</v>
      </c>
      <c r="L149" s="218"/>
    </row>
    <row r="150" spans="1:12" ht="12.75">
      <c r="A150" s="367">
        <f t="shared" si="24"/>
        <v>136</v>
      </c>
      <c r="B150" s="395"/>
      <c r="C150" s="401"/>
      <c r="D150" s="402" t="s">
        <v>108</v>
      </c>
      <c r="E150" s="419" t="s">
        <v>236</v>
      </c>
      <c r="F150" s="455">
        <f>+F266+F382+F498+F613</f>
        <v>0</v>
      </c>
      <c r="G150" s="399">
        <f t="shared" si="22"/>
        <v>0</v>
      </c>
      <c r="H150" s="455">
        <f t="shared" si="28"/>
        <v>0</v>
      </c>
      <c r="I150" s="455">
        <f t="shared" si="28"/>
        <v>0</v>
      </c>
      <c r="J150" s="456">
        <f t="shared" si="28"/>
        <v>0</v>
      </c>
      <c r="K150" s="455">
        <f t="shared" si="28"/>
        <v>0</v>
      </c>
      <c r="L150" s="218"/>
    </row>
    <row r="151" spans="1:18" ht="12.75">
      <c r="A151" s="367">
        <f t="shared" si="24"/>
        <v>137</v>
      </c>
      <c r="B151" s="368">
        <v>70</v>
      </c>
      <c r="C151" s="368"/>
      <c r="D151" s="369"/>
      <c r="E151" s="85" t="s">
        <v>237</v>
      </c>
      <c r="F151" s="50">
        <f>F152</f>
        <v>0</v>
      </c>
      <c r="G151" s="50">
        <f t="shared" si="22"/>
        <v>19715.82</v>
      </c>
      <c r="H151" s="50">
        <f>H152</f>
        <v>5754</v>
      </c>
      <c r="I151" s="50">
        <f>I152</f>
        <v>4819.3</v>
      </c>
      <c r="J151" s="449">
        <f>J152</f>
        <v>5605.52</v>
      </c>
      <c r="K151" s="50">
        <f>K152</f>
        <v>3537</v>
      </c>
      <c r="L151" s="218"/>
      <c r="M151" s="51"/>
      <c r="N151" s="21"/>
      <c r="O151" s="21"/>
      <c r="P151" s="21"/>
      <c r="Q151" s="21"/>
      <c r="R151" s="21"/>
    </row>
    <row r="152" spans="1:12" ht="12.75">
      <c r="A152" s="367">
        <f t="shared" si="24"/>
        <v>138</v>
      </c>
      <c r="B152" s="368">
        <v>71</v>
      </c>
      <c r="C152" s="406"/>
      <c r="D152" s="369"/>
      <c r="E152" s="85" t="s">
        <v>238</v>
      </c>
      <c r="F152" s="50">
        <f>F153+F158</f>
        <v>0</v>
      </c>
      <c r="G152" s="50">
        <f t="shared" si="22"/>
        <v>19715.82</v>
      </c>
      <c r="H152" s="50">
        <f>H153+H158</f>
        <v>5754</v>
      </c>
      <c r="I152" s="50">
        <f>I153+I158</f>
        <v>4819.3</v>
      </c>
      <c r="J152" s="449">
        <f>J153+J158</f>
        <v>5605.52</v>
      </c>
      <c r="K152" s="50">
        <f>K153+K158</f>
        <v>3537</v>
      </c>
      <c r="L152" s="218"/>
    </row>
    <row r="153" spans="1:12" ht="12.75">
      <c r="A153" s="367">
        <f t="shared" si="24"/>
        <v>139</v>
      </c>
      <c r="B153" s="368"/>
      <c r="C153" s="377" t="s">
        <v>47</v>
      </c>
      <c r="D153" s="369"/>
      <c r="E153" s="85" t="s">
        <v>77</v>
      </c>
      <c r="F153" s="50">
        <f>F154+F155+F156+F157</f>
        <v>0</v>
      </c>
      <c r="G153" s="50">
        <f t="shared" si="22"/>
        <v>14545.52</v>
      </c>
      <c r="H153" s="50">
        <f>H154+H155+H156+H157</f>
        <v>5754</v>
      </c>
      <c r="I153" s="50">
        <f>I154+I155+I156+I157</f>
        <v>2883</v>
      </c>
      <c r="J153" s="449">
        <f>J154+J155+J156+J157</f>
        <v>2963.52</v>
      </c>
      <c r="K153" s="50">
        <f>K154+K155+K156+K157</f>
        <v>2945</v>
      </c>
      <c r="L153" s="218"/>
    </row>
    <row r="154" spans="1:12" ht="12.75">
      <c r="A154" s="367">
        <f t="shared" si="24"/>
        <v>140</v>
      </c>
      <c r="B154" s="368"/>
      <c r="C154" s="368"/>
      <c r="D154" s="379" t="s">
        <v>47</v>
      </c>
      <c r="E154" s="66" t="s">
        <v>239</v>
      </c>
      <c r="F154" s="79">
        <f>+F270+F386+F502+F617</f>
        <v>0</v>
      </c>
      <c r="G154" s="79">
        <f t="shared" si="22"/>
        <v>0</v>
      </c>
      <c r="H154" s="79">
        <f aca="true" t="shared" si="29" ref="H154:K158">+H270+H386+H502+H617</f>
        <v>0</v>
      </c>
      <c r="I154" s="79">
        <f t="shared" si="29"/>
        <v>0</v>
      </c>
      <c r="J154" s="450">
        <f t="shared" si="29"/>
        <v>0</v>
      </c>
      <c r="K154" s="79">
        <f t="shared" si="29"/>
        <v>0</v>
      </c>
      <c r="L154" s="218"/>
    </row>
    <row r="155" spans="1:12" ht="12.75">
      <c r="A155" s="367">
        <f t="shared" si="24"/>
        <v>141</v>
      </c>
      <c r="B155" s="368"/>
      <c r="C155" s="368"/>
      <c r="D155" s="379" t="s">
        <v>80</v>
      </c>
      <c r="E155" s="66" t="s">
        <v>240</v>
      </c>
      <c r="F155" s="79">
        <f>+F271+F387+F503+F618</f>
        <v>0</v>
      </c>
      <c r="G155" s="79">
        <f t="shared" si="22"/>
        <v>14545.52</v>
      </c>
      <c r="H155" s="79">
        <f t="shared" si="29"/>
        <v>5754</v>
      </c>
      <c r="I155" s="79">
        <f t="shared" si="29"/>
        <v>2883</v>
      </c>
      <c r="J155" s="450">
        <f t="shared" si="29"/>
        <v>2963.52</v>
      </c>
      <c r="K155" s="79">
        <f t="shared" si="29"/>
        <v>2945</v>
      </c>
      <c r="L155" s="218"/>
    </row>
    <row r="156" spans="1:12" ht="12.75">
      <c r="A156" s="367">
        <f t="shared" si="24"/>
        <v>142</v>
      </c>
      <c r="B156" s="368"/>
      <c r="C156" s="368"/>
      <c r="D156" s="379" t="s">
        <v>84</v>
      </c>
      <c r="E156" s="66" t="s">
        <v>241</v>
      </c>
      <c r="F156" s="79">
        <f>+F272+F388+F504+F619</f>
        <v>0</v>
      </c>
      <c r="G156" s="79">
        <f t="shared" si="22"/>
        <v>0</v>
      </c>
      <c r="H156" s="79">
        <f t="shared" si="29"/>
        <v>0</v>
      </c>
      <c r="I156" s="79">
        <f t="shared" si="29"/>
        <v>0</v>
      </c>
      <c r="J156" s="450">
        <f t="shared" si="29"/>
        <v>0</v>
      </c>
      <c r="K156" s="79">
        <f t="shared" si="29"/>
        <v>0</v>
      </c>
      <c r="L156" s="218"/>
    </row>
    <row r="157" spans="1:12" ht="12.75">
      <c r="A157" s="367">
        <f t="shared" si="24"/>
        <v>143</v>
      </c>
      <c r="B157" s="368"/>
      <c r="C157" s="368"/>
      <c r="D157" s="369">
        <v>30</v>
      </c>
      <c r="E157" s="66" t="s">
        <v>242</v>
      </c>
      <c r="F157" s="79">
        <f>+F273+F389+F505+F620</f>
        <v>0</v>
      </c>
      <c r="G157" s="79">
        <f t="shared" si="22"/>
        <v>0</v>
      </c>
      <c r="H157" s="79">
        <f t="shared" si="29"/>
        <v>0</v>
      </c>
      <c r="I157" s="79">
        <f t="shared" si="29"/>
        <v>0</v>
      </c>
      <c r="J157" s="450">
        <f t="shared" si="29"/>
        <v>0</v>
      </c>
      <c r="K157" s="79">
        <f t="shared" si="29"/>
        <v>0</v>
      </c>
      <c r="L157" s="218"/>
    </row>
    <row r="158" spans="1:12" ht="12.75">
      <c r="A158" s="367">
        <f t="shared" si="24"/>
        <v>144</v>
      </c>
      <c r="B158" s="368">
        <v>71</v>
      </c>
      <c r="C158" s="377" t="s">
        <v>84</v>
      </c>
      <c r="D158" s="369"/>
      <c r="E158" s="66" t="s">
        <v>243</v>
      </c>
      <c r="F158" s="79">
        <f>+F274+F390+F506+F621</f>
        <v>0</v>
      </c>
      <c r="G158" s="79">
        <f t="shared" si="22"/>
        <v>5170.3</v>
      </c>
      <c r="H158" s="79">
        <f t="shared" si="29"/>
        <v>0</v>
      </c>
      <c r="I158" s="79">
        <f t="shared" si="29"/>
        <v>1936.3</v>
      </c>
      <c r="J158" s="450">
        <f t="shared" si="29"/>
        <v>2642</v>
      </c>
      <c r="K158" s="79">
        <f t="shared" si="29"/>
        <v>592</v>
      </c>
      <c r="L158" s="218"/>
    </row>
    <row r="159" spans="1:12" ht="12.75">
      <c r="A159" s="367">
        <f t="shared" si="24"/>
        <v>145</v>
      </c>
      <c r="B159" s="368"/>
      <c r="C159" s="368"/>
      <c r="D159" s="369"/>
      <c r="E159" s="85" t="s">
        <v>244</v>
      </c>
      <c r="F159" s="49">
        <f>F160+F161+F162</f>
        <v>0</v>
      </c>
      <c r="G159" s="50">
        <f t="shared" si="22"/>
        <v>103.52000000000001</v>
      </c>
      <c r="H159" s="49">
        <f>H160+H161+H162</f>
        <v>0</v>
      </c>
      <c r="I159" s="49">
        <f>I160+I161+I162</f>
        <v>0</v>
      </c>
      <c r="J159" s="209">
        <f>J160+J161+J162</f>
        <v>53.52</v>
      </c>
      <c r="K159" s="49">
        <f>K160+K161+K162</f>
        <v>50</v>
      </c>
      <c r="L159" s="218"/>
    </row>
    <row r="160" spans="1:12" ht="12.75">
      <c r="A160" s="367">
        <f t="shared" si="24"/>
        <v>146</v>
      </c>
      <c r="B160" s="368">
        <v>71</v>
      </c>
      <c r="C160" s="377" t="s">
        <v>47</v>
      </c>
      <c r="D160" s="379" t="s">
        <v>80</v>
      </c>
      <c r="E160" s="66" t="s">
        <v>81</v>
      </c>
      <c r="F160" s="79">
        <f>+F276+F392+F508+F623</f>
        <v>0</v>
      </c>
      <c r="G160" s="79">
        <f t="shared" si="22"/>
        <v>103.52000000000001</v>
      </c>
      <c r="H160" s="79">
        <f aca="true" t="shared" si="30" ref="H160:K162">+H276+H392+H508+H623</f>
        <v>0</v>
      </c>
      <c r="I160" s="79">
        <f t="shared" si="30"/>
        <v>0</v>
      </c>
      <c r="J160" s="450">
        <f t="shared" si="30"/>
        <v>53.52</v>
      </c>
      <c r="K160" s="79">
        <f t="shared" si="30"/>
        <v>50</v>
      </c>
      <c r="L160" s="218"/>
    </row>
    <row r="161" spans="1:12" ht="12.75">
      <c r="A161" s="367">
        <f t="shared" si="24"/>
        <v>147</v>
      </c>
      <c r="B161" s="368"/>
      <c r="C161" s="368"/>
      <c r="D161" s="379" t="s">
        <v>84</v>
      </c>
      <c r="E161" s="66" t="s">
        <v>245</v>
      </c>
      <c r="F161" s="79">
        <f>+F277+F393+F509+F624</f>
        <v>0</v>
      </c>
      <c r="G161" s="79">
        <f t="shared" si="22"/>
        <v>0</v>
      </c>
      <c r="H161" s="79">
        <f t="shared" si="30"/>
        <v>0</v>
      </c>
      <c r="I161" s="79">
        <f t="shared" si="30"/>
        <v>0</v>
      </c>
      <c r="J161" s="450">
        <f t="shared" si="30"/>
        <v>0</v>
      </c>
      <c r="K161" s="79">
        <f t="shared" si="30"/>
        <v>0</v>
      </c>
      <c r="L161" s="218"/>
    </row>
    <row r="162" spans="1:12" ht="12.75">
      <c r="A162" s="367">
        <f t="shared" si="24"/>
        <v>148</v>
      </c>
      <c r="B162" s="368"/>
      <c r="C162" s="368"/>
      <c r="D162" s="369">
        <v>30</v>
      </c>
      <c r="E162" s="97" t="s">
        <v>242</v>
      </c>
      <c r="F162" s="79">
        <f>+F278+F394+F510+F625</f>
        <v>0</v>
      </c>
      <c r="G162" s="79">
        <f t="shared" si="22"/>
        <v>0</v>
      </c>
      <c r="H162" s="79">
        <f t="shared" si="30"/>
        <v>0</v>
      </c>
      <c r="I162" s="79">
        <f t="shared" si="30"/>
        <v>0</v>
      </c>
      <c r="J162" s="450">
        <f t="shared" si="30"/>
        <v>0</v>
      </c>
      <c r="K162" s="79">
        <f t="shared" si="30"/>
        <v>0</v>
      </c>
      <c r="L162" s="218"/>
    </row>
    <row r="163" spans="1:12" ht="12.75">
      <c r="A163" s="367">
        <f t="shared" si="24"/>
        <v>149</v>
      </c>
      <c r="B163" s="368"/>
      <c r="C163" s="368"/>
      <c r="D163" s="369"/>
      <c r="E163" s="66" t="s">
        <v>246</v>
      </c>
      <c r="F163" s="79"/>
      <c r="G163" s="79">
        <f t="shared" si="22"/>
        <v>0</v>
      </c>
      <c r="H163" s="79"/>
      <c r="I163" s="79"/>
      <c r="J163" s="450"/>
      <c r="K163" s="79"/>
      <c r="L163" s="218"/>
    </row>
    <row r="164" spans="1:12" ht="12.75">
      <c r="A164" s="367"/>
      <c r="B164" s="368" t="s">
        <v>18</v>
      </c>
      <c r="C164" s="368" t="s">
        <v>247</v>
      </c>
      <c r="D164" s="86" t="s">
        <v>20</v>
      </c>
      <c r="E164" s="66"/>
      <c r="F164" s="79"/>
      <c r="G164" s="79">
        <f t="shared" si="22"/>
        <v>0</v>
      </c>
      <c r="H164" s="79"/>
      <c r="I164" s="79"/>
      <c r="J164" s="450"/>
      <c r="K164" s="79"/>
      <c r="L164" s="218"/>
    </row>
    <row r="165" spans="1:12" ht="12.75">
      <c r="A165" s="367">
        <f>A163+1</f>
        <v>150</v>
      </c>
      <c r="B165" s="377" t="s">
        <v>248</v>
      </c>
      <c r="C165" s="368"/>
      <c r="D165" s="369"/>
      <c r="E165" s="85" t="s">
        <v>249</v>
      </c>
      <c r="F165" s="49">
        <f>F166+F169+F170+F173+F174</f>
        <v>30250</v>
      </c>
      <c r="G165" s="50">
        <f t="shared" si="22"/>
        <v>103968.29</v>
      </c>
      <c r="H165" s="49">
        <f>H166+H169+H170+H173+H174</f>
        <v>6874</v>
      </c>
      <c r="I165" s="49">
        <f>I166+I169+I170+I173+I174</f>
        <v>5609.3</v>
      </c>
      <c r="J165" s="209">
        <f>J166+J169+J170+J173+J174</f>
        <v>45023.71</v>
      </c>
      <c r="K165" s="49">
        <f>K166+K169+K170+K173+K174</f>
        <v>46461.28</v>
      </c>
      <c r="L165" s="218"/>
    </row>
    <row r="166" spans="1:12" ht="12.75">
      <c r="A166" s="367">
        <f aca="true" t="shared" si="31" ref="A166:A229">A165+1</f>
        <v>151</v>
      </c>
      <c r="B166" s="368"/>
      <c r="C166" s="377" t="s">
        <v>108</v>
      </c>
      <c r="D166" s="369"/>
      <c r="E166" s="85" t="s">
        <v>250</v>
      </c>
      <c r="F166" s="49">
        <f>F167+F168</f>
        <v>0</v>
      </c>
      <c r="G166" s="50">
        <f t="shared" si="22"/>
        <v>0</v>
      </c>
      <c r="H166" s="49">
        <f>H167+H168</f>
        <v>0</v>
      </c>
      <c r="I166" s="49">
        <f>I167+I168</f>
        <v>0</v>
      </c>
      <c r="J166" s="209">
        <f>J167+J168</f>
        <v>0</v>
      </c>
      <c r="K166" s="49">
        <f>K167+K168</f>
        <v>0</v>
      </c>
      <c r="L166" s="218"/>
    </row>
    <row r="167" spans="1:17" ht="12.75">
      <c r="A167" s="367">
        <f t="shared" si="31"/>
        <v>152</v>
      </c>
      <c r="B167" s="368"/>
      <c r="C167" s="368"/>
      <c r="D167" s="379" t="s">
        <v>80</v>
      </c>
      <c r="E167" s="66" t="s">
        <v>251</v>
      </c>
      <c r="F167" s="79">
        <f>+F283+F399+F515+F630</f>
        <v>0</v>
      </c>
      <c r="G167" s="79">
        <f t="shared" si="22"/>
        <v>0</v>
      </c>
      <c r="H167" s="79">
        <f aca="true" t="shared" si="32" ref="H167:K169">+H283+H399+H515+H630</f>
        <v>0</v>
      </c>
      <c r="I167" s="79">
        <f t="shared" si="32"/>
        <v>0</v>
      </c>
      <c r="J167" s="450">
        <f t="shared" si="32"/>
        <v>0</v>
      </c>
      <c r="K167" s="79">
        <f t="shared" si="32"/>
        <v>0</v>
      </c>
      <c r="L167" s="218"/>
      <c r="M167" s="21"/>
      <c r="N167" s="21"/>
      <c r="O167" s="21"/>
      <c r="P167" s="21"/>
      <c r="Q167" s="21"/>
    </row>
    <row r="168" spans="1:12" ht="12.75">
      <c r="A168" s="367">
        <f t="shared" si="31"/>
        <v>153</v>
      </c>
      <c r="B168" s="368"/>
      <c r="C168" s="368"/>
      <c r="D168" s="369">
        <v>50</v>
      </c>
      <c r="E168" s="66" t="s">
        <v>252</v>
      </c>
      <c r="F168" s="79">
        <f>+F284+F400+F516+F631</f>
        <v>0</v>
      </c>
      <c r="G168" s="79">
        <f t="shared" si="22"/>
        <v>0</v>
      </c>
      <c r="H168" s="79">
        <f t="shared" si="32"/>
        <v>0</v>
      </c>
      <c r="I168" s="79">
        <f t="shared" si="32"/>
        <v>0</v>
      </c>
      <c r="J168" s="450">
        <f t="shared" si="32"/>
        <v>0</v>
      </c>
      <c r="K168" s="79">
        <f t="shared" si="32"/>
        <v>0</v>
      </c>
      <c r="L168" s="218"/>
    </row>
    <row r="169" spans="1:12" ht="12.75">
      <c r="A169" s="367">
        <f t="shared" si="31"/>
        <v>154</v>
      </c>
      <c r="B169" s="368"/>
      <c r="C169" s="377" t="s">
        <v>41</v>
      </c>
      <c r="D169" s="369"/>
      <c r="E169" s="59" t="s">
        <v>253</v>
      </c>
      <c r="F169" s="49">
        <f>+F285+F401+F517+F632</f>
        <v>0</v>
      </c>
      <c r="G169" s="50">
        <f t="shared" si="22"/>
        <v>0</v>
      </c>
      <c r="H169" s="49">
        <f t="shared" si="32"/>
        <v>0</v>
      </c>
      <c r="I169" s="49">
        <f t="shared" si="32"/>
        <v>0</v>
      </c>
      <c r="J169" s="209">
        <f t="shared" si="32"/>
        <v>0</v>
      </c>
      <c r="K169" s="49">
        <f t="shared" si="32"/>
        <v>0</v>
      </c>
      <c r="L169" s="218"/>
    </row>
    <row r="170" spans="1:12" ht="12.75">
      <c r="A170" s="367">
        <f t="shared" si="31"/>
        <v>155</v>
      </c>
      <c r="B170" s="368"/>
      <c r="C170" s="377" t="s">
        <v>154</v>
      </c>
      <c r="D170" s="369"/>
      <c r="E170" s="85" t="s">
        <v>254</v>
      </c>
      <c r="F170" s="49">
        <f>F171+F172</f>
        <v>30250</v>
      </c>
      <c r="G170" s="50">
        <f t="shared" si="22"/>
        <v>103968.29</v>
      </c>
      <c r="H170" s="49">
        <f>H171+H172</f>
        <v>6874</v>
      </c>
      <c r="I170" s="49">
        <f>I171+I172</f>
        <v>5609.3</v>
      </c>
      <c r="J170" s="209">
        <f>J171+J172</f>
        <v>45023.71</v>
      </c>
      <c r="K170" s="49">
        <f>K171+K172</f>
        <v>46461.28</v>
      </c>
      <c r="L170" s="218"/>
    </row>
    <row r="171" spans="1:18" ht="12.75">
      <c r="A171" s="367">
        <f t="shared" si="31"/>
        <v>156</v>
      </c>
      <c r="B171" s="368"/>
      <c r="C171" s="368"/>
      <c r="D171" s="379" t="s">
        <v>47</v>
      </c>
      <c r="E171" s="66" t="s">
        <v>255</v>
      </c>
      <c r="F171" s="79">
        <f aca="true" t="shared" si="33" ref="F171:K172">+F287+F403+F519+F634</f>
        <v>30250</v>
      </c>
      <c r="G171" s="199">
        <f t="shared" si="22"/>
        <v>103968.29</v>
      </c>
      <c r="H171" s="79">
        <f t="shared" si="33"/>
        <v>6874</v>
      </c>
      <c r="I171" s="79">
        <f t="shared" si="33"/>
        <v>5609.3</v>
      </c>
      <c r="J171" s="450">
        <f t="shared" si="33"/>
        <v>45023.71</v>
      </c>
      <c r="K171" s="79">
        <f t="shared" si="33"/>
        <v>46461.28</v>
      </c>
      <c r="L171" s="218"/>
      <c r="M171" s="216"/>
      <c r="N171" s="318"/>
      <c r="O171" s="216"/>
      <c r="P171" s="216"/>
      <c r="Q171" s="216"/>
      <c r="R171" s="216"/>
    </row>
    <row r="172" spans="1:18" ht="12.75">
      <c r="A172" s="367">
        <f t="shared" si="31"/>
        <v>157</v>
      </c>
      <c r="B172" s="368"/>
      <c r="C172" s="368"/>
      <c r="D172" s="379" t="s">
        <v>154</v>
      </c>
      <c r="E172" s="66" t="s">
        <v>256</v>
      </c>
      <c r="F172" s="79">
        <f>+F288+F404+F520+F635</f>
        <v>0</v>
      </c>
      <c r="G172" s="79">
        <f t="shared" si="22"/>
        <v>0</v>
      </c>
      <c r="H172" s="79">
        <f t="shared" si="33"/>
        <v>0</v>
      </c>
      <c r="I172" s="79">
        <f t="shared" si="33"/>
        <v>0</v>
      </c>
      <c r="J172" s="450">
        <f t="shared" si="33"/>
        <v>0</v>
      </c>
      <c r="K172" s="79">
        <f t="shared" si="33"/>
        <v>0</v>
      </c>
      <c r="L172" s="218"/>
      <c r="M172" s="222"/>
      <c r="N172" s="222"/>
      <c r="O172" s="222"/>
      <c r="P172" s="222"/>
      <c r="Q172" s="222"/>
      <c r="R172" s="222"/>
    </row>
    <row r="173" spans="1:16" ht="12.75">
      <c r="A173" s="367">
        <f t="shared" si="31"/>
        <v>158</v>
      </c>
      <c r="B173" s="368"/>
      <c r="C173" s="368">
        <v>10</v>
      </c>
      <c r="D173" s="369"/>
      <c r="E173" s="85" t="s">
        <v>257</v>
      </c>
      <c r="F173" s="49">
        <f>+F289</f>
        <v>0</v>
      </c>
      <c r="G173" s="50">
        <f t="shared" si="22"/>
        <v>0</v>
      </c>
      <c r="H173" s="49">
        <f>+H289</f>
        <v>0</v>
      </c>
      <c r="I173" s="49">
        <f>+I289</f>
        <v>0</v>
      </c>
      <c r="J173" s="209">
        <f>+J289</f>
        <v>0</v>
      </c>
      <c r="K173" s="49">
        <f>+K289</f>
        <v>0</v>
      </c>
      <c r="L173" s="218"/>
      <c r="M173" s="218"/>
      <c r="N173" s="218"/>
      <c r="O173" s="218"/>
      <c r="P173" s="218"/>
    </row>
    <row r="174" spans="1:12" ht="12.75">
      <c r="A174" s="367">
        <f t="shared" si="31"/>
        <v>159</v>
      </c>
      <c r="B174" s="368"/>
      <c r="C174" s="368">
        <v>50</v>
      </c>
      <c r="D174" s="369"/>
      <c r="E174" s="85" t="s">
        <v>258</v>
      </c>
      <c r="F174" s="49">
        <f>F175+F176</f>
        <v>0</v>
      </c>
      <c r="G174" s="50">
        <f t="shared" si="22"/>
        <v>0</v>
      </c>
      <c r="H174" s="49">
        <f>H175+H176</f>
        <v>0</v>
      </c>
      <c r="I174" s="49">
        <f>I175+I176</f>
        <v>0</v>
      </c>
      <c r="J174" s="209">
        <f>J175+J176</f>
        <v>0</v>
      </c>
      <c r="K174" s="49">
        <f>K175+K176</f>
        <v>0</v>
      </c>
      <c r="L174" s="218"/>
    </row>
    <row r="175" spans="1:13" ht="12.75">
      <c r="A175" s="367">
        <f t="shared" si="31"/>
        <v>160</v>
      </c>
      <c r="B175" s="368"/>
      <c r="C175" s="368"/>
      <c r="D175" s="379" t="s">
        <v>47</v>
      </c>
      <c r="E175" s="66" t="s">
        <v>259</v>
      </c>
      <c r="F175" s="79">
        <f>+F291</f>
        <v>0</v>
      </c>
      <c r="G175" s="79">
        <f t="shared" si="22"/>
        <v>0</v>
      </c>
      <c r="H175" s="79">
        <f aca="true" t="shared" si="34" ref="H175:K176">+H291</f>
        <v>0</v>
      </c>
      <c r="I175" s="79">
        <f t="shared" si="34"/>
        <v>0</v>
      </c>
      <c r="J175" s="450">
        <f t="shared" si="34"/>
        <v>0</v>
      </c>
      <c r="K175" s="79">
        <f t="shared" si="34"/>
        <v>0</v>
      </c>
      <c r="L175" s="218"/>
      <c r="M175" s="214"/>
    </row>
    <row r="176" spans="1:13" ht="12.75">
      <c r="A176" s="367">
        <f t="shared" si="31"/>
        <v>161</v>
      </c>
      <c r="B176" s="368"/>
      <c r="C176" s="368"/>
      <c r="D176" s="369">
        <v>50</v>
      </c>
      <c r="E176" s="66" t="s">
        <v>260</v>
      </c>
      <c r="F176" s="79">
        <f>+F292</f>
        <v>0</v>
      </c>
      <c r="G176" s="79">
        <f t="shared" si="22"/>
        <v>0</v>
      </c>
      <c r="H176" s="79">
        <f t="shared" si="34"/>
        <v>0</v>
      </c>
      <c r="I176" s="79">
        <f t="shared" si="34"/>
        <v>0</v>
      </c>
      <c r="J176" s="450">
        <f t="shared" si="34"/>
        <v>0</v>
      </c>
      <c r="K176" s="79">
        <f t="shared" si="34"/>
        <v>0</v>
      </c>
      <c r="L176" s="218"/>
      <c r="M176" s="123"/>
    </row>
    <row r="177" spans="1:18" ht="12.75">
      <c r="A177" s="367">
        <f t="shared" si="31"/>
        <v>162</v>
      </c>
      <c r="B177" s="368"/>
      <c r="C177" s="368"/>
      <c r="D177" s="369"/>
      <c r="E177" s="407" t="s">
        <v>261</v>
      </c>
      <c r="F177" s="49">
        <f>+F179+F267</f>
        <v>30250</v>
      </c>
      <c r="G177" s="50">
        <f t="shared" si="22"/>
        <v>70862.65</v>
      </c>
      <c r="H177" s="124">
        <f>+H179+H267</f>
        <v>0</v>
      </c>
      <c r="I177" s="124">
        <f>+I179+I267</f>
        <v>0</v>
      </c>
      <c r="J177" s="209">
        <f>+J179+J267</f>
        <v>35831.369999999995</v>
      </c>
      <c r="K177" s="49">
        <f>+K179+K267</f>
        <v>35031.28</v>
      </c>
      <c r="L177" s="218"/>
      <c r="M177" s="216"/>
      <c r="N177" s="206"/>
      <c r="O177" s="165"/>
      <c r="P177" s="165"/>
      <c r="Q177" s="165"/>
      <c r="R177" s="165"/>
    </row>
    <row r="178" spans="1:14" ht="12.75">
      <c r="A178" s="367"/>
      <c r="B178" s="368" t="s">
        <v>59</v>
      </c>
      <c r="C178" s="368" t="s">
        <v>60</v>
      </c>
      <c r="D178" s="86" t="s">
        <v>61</v>
      </c>
      <c r="E178" s="66" t="s">
        <v>21</v>
      </c>
      <c r="F178" s="49"/>
      <c r="G178" s="50">
        <f t="shared" si="22"/>
        <v>0</v>
      </c>
      <c r="H178" s="79">
        <v>0</v>
      </c>
      <c r="I178" s="79">
        <v>0</v>
      </c>
      <c r="J178" s="450">
        <v>0</v>
      </c>
      <c r="K178" s="79"/>
      <c r="L178" s="218"/>
      <c r="M178" s="218"/>
      <c r="N178" s="206"/>
    </row>
    <row r="179" spans="1:18" ht="12.75">
      <c r="A179" s="367">
        <f>A177+1</f>
        <v>163</v>
      </c>
      <c r="B179" s="368"/>
      <c r="C179" s="368"/>
      <c r="D179" s="369"/>
      <c r="E179" s="59" t="s">
        <v>262</v>
      </c>
      <c r="F179" s="49">
        <f>+F180+F214+F256+F259+F260</f>
        <v>30250</v>
      </c>
      <c r="G179" s="50">
        <f t="shared" si="22"/>
        <v>70759.13</v>
      </c>
      <c r="H179" s="49">
        <f>+H180+H214+H256+H259+H260</f>
        <v>0</v>
      </c>
      <c r="I179" s="49">
        <f>+I180+I214+I256+I259+I260</f>
        <v>0</v>
      </c>
      <c r="J179" s="209">
        <f>+J180+J214+J256+J259+J260</f>
        <v>35777.85</v>
      </c>
      <c r="K179" s="49">
        <f>+K180+K214+K256+K259+K260</f>
        <v>34981.28</v>
      </c>
      <c r="L179" s="218"/>
      <c r="M179" s="216"/>
      <c r="N179" s="206"/>
      <c r="O179" s="165"/>
      <c r="P179" s="165"/>
      <c r="Q179" s="165"/>
      <c r="R179" s="165"/>
    </row>
    <row r="180" spans="1:18" ht="12.75">
      <c r="A180" s="367">
        <f t="shared" si="31"/>
        <v>164</v>
      </c>
      <c r="B180" s="368">
        <v>10</v>
      </c>
      <c r="C180" s="368"/>
      <c r="D180" s="369"/>
      <c r="E180" s="59" t="s">
        <v>263</v>
      </c>
      <c r="F180" s="49">
        <f>+F181+F199+F206</f>
        <v>0</v>
      </c>
      <c r="G180" s="50">
        <f t="shared" si="22"/>
        <v>26477.62</v>
      </c>
      <c r="H180" s="124">
        <f>+H181+H199+H206</f>
        <v>0</v>
      </c>
      <c r="I180" s="124">
        <f>+I181+I199+I206</f>
        <v>0</v>
      </c>
      <c r="J180" s="209">
        <f>+J181+J199+J206</f>
        <v>9693.619999999999</v>
      </c>
      <c r="K180" s="49">
        <f>+K181+K199+K206</f>
        <v>16784</v>
      </c>
      <c r="L180" s="218"/>
      <c r="M180" s="216"/>
      <c r="N180" s="206"/>
      <c r="O180" s="165"/>
      <c r="P180" s="165"/>
      <c r="Q180" s="165"/>
      <c r="R180" s="165"/>
    </row>
    <row r="181" spans="1:18" ht="12.75">
      <c r="A181" s="367">
        <f t="shared" si="31"/>
        <v>165</v>
      </c>
      <c r="B181" s="368"/>
      <c r="C181" s="377" t="s">
        <v>47</v>
      </c>
      <c r="D181" s="369"/>
      <c r="E181" s="85" t="s">
        <v>142</v>
      </c>
      <c r="F181" s="49">
        <f>+F182+F183+F184+F185+F186+F187+F188+F189+F190+F191+F192+F193+F194+F195+F196+F197+F198</f>
        <v>0</v>
      </c>
      <c r="G181" s="50">
        <f t="shared" si="22"/>
        <v>20047.57</v>
      </c>
      <c r="H181" s="124">
        <f>+H182+H183+H184+H185+H186+H187+H188+H189+H190+H191+H192+H193+H194+H195+H196+H197+H198</f>
        <v>0</v>
      </c>
      <c r="I181" s="124">
        <f>+I182+I183+I184+I185+I186+I187+I188+I189+I190+I191+I192+I193+I194+I195+I196+I197+I198</f>
        <v>0</v>
      </c>
      <c r="J181" s="209">
        <f>+J182+J183+J184+J185+J186+J187+J188+J189+J190+J191+J192+J193+J194+J195+J196+J197+J198</f>
        <v>7036.57</v>
      </c>
      <c r="K181" s="49">
        <f>+K182+K183+K184+K185+K186+K187+K188+K189+K190+K191+K192+K193+K194+K195+K196+K197+K198</f>
        <v>13011</v>
      </c>
      <c r="L181" s="218"/>
      <c r="M181" s="216"/>
      <c r="N181" s="206"/>
      <c r="O181" s="165"/>
      <c r="P181" s="165"/>
      <c r="Q181" s="165"/>
      <c r="R181" s="165"/>
    </row>
    <row r="182" spans="1:18" ht="12.75">
      <c r="A182" s="367">
        <f t="shared" si="31"/>
        <v>166</v>
      </c>
      <c r="B182" s="368"/>
      <c r="C182" s="368"/>
      <c r="D182" s="379" t="s">
        <v>47</v>
      </c>
      <c r="E182" s="66" t="s">
        <v>144</v>
      </c>
      <c r="F182" s="375"/>
      <c r="G182" s="50">
        <f t="shared" si="22"/>
        <v>15191.45</v>
      </c>
      <c r="H182" s="375">
        <v>0</v>
      </c>
      <c r="I182" s="375">
        <v>0</v>
      </c>
      <c r="J182" s="447">
        <f>5091.45</f>
        <v>5091.45</v>
      </c>
      <c r="K182" s="375">
        <f>7116-4537+870+4000+2700-49</f>
        <v>10100</v>
      </c>
      <c r="L182" s="218"/>
      <c r="M182" s="218"/>
      <c r="N182" s="206"/>
      <c r="O182" s="165"/>
      <c r="P182" s="165"/>
      <c r="Q182" s="165"/>
      <c r="R182" s="165"/>
    </row>
    <row r="183" spans="1:18" ht="12.75">
      <c r="A183" s="367">
        <f t="shared" si="31"/>
        <v>167</v>
      </c>
      <c r="B183" s="368"/>
      <c r="C183" s="368"/>
      <c r="D183" s="379" t="s">
        <v>80</v>
      </c>
      <c r="E183" s="66" t="s">
        <v>146</v>
      </c>
      <c r="F183" s="375"/>
      <c r="G183" s="50">
        <f t="shared" si="22"/>
        <v>0</v>
      </c>
      <c r="H183" s="375">
        <v>0</v>
      </c>
      <c r="I183" s="375">
        <v>0</v>
      </c>
      <c r="J183" s="447">
        <v>0</v>
      </c>
      <c r="K183" s="375">
        <v>0</v>
      </c>
      <c r="L183" s="218"/>
      <c r="M183" s="218"/>
      <c r="N183" s="206"/>
      <c r="O183" s="165"/>
      <c r="P183" s="165"/>
      <c r="Q183" s="165"/>
      <c r="R183" s="165"/>
    </row>
    <row r="184" spans="1:18" ht="12.75">
      <c r="A184" s="367">
        <f t="shared" si="31"/>
        <v>168</v>
      </c>
      <c r="B184" s="368"/>
      <c r="C184" s="368"/>
      <c r="D184" s="379" t="s">
        <v>84</v>
      </c>
      <c r="E184" s="66" t="s">
        <v>148</v>
      </c>
      <c r="F184" s="375"/>
      <c r="G184" s="50">
        <f t="shared" si="22"/>
        <v>0</v>
      </c>
      <c r="H184" s="375">
        <v>0</v>
      </c>
      <c r="I184" s="375">
        <v>0</v>
      </c>
      <c r="J184" s="447">
        <v>0</v>
      </c>
      <c r="K184" s="375">
        <v>0</v>
      </c>
      <c r="L184" s="218"/>
      <c r="M184" s="218"/>
      <c r="N184" s="206"/>
      <c r="O184" s="165"/>
      <c r="P184" s="165"/>
      <c r="Q184" s="165"/>
      <c r="R184" s="165"/>
    </row>
    <row r="185" spans="1:18" ht="12.75">
      <c r="A185" s="367">
        <f t="shared" si="31"/>
        <v>169</v>
      </c>
      <c r="B185" s="368"/>
      <c r="C185" s="368"/>
      <c r="D185" s="379" t="s">
        <v>108</v>
      </c>
      <c r="E185" s="66" t="s">
        <v>150</v>
      </c>
      <c r="F185" s="375"/>
      <c r="G185" s="50">
        <f t="shared" si="22"/>
        <v>0</v>
      </c>
      <c r="H185" s="375">
        <v>0</v>
      </c>
      <c r="I185" s="375">
        <v>0</v>
      </c>
      <c r="J185" s="447">
        <v>0</v>
      </c>
      <c r="K185" s="375">
        <v>0</v>
      </c>
      <c r="L185" s="218"/>
      <c r="M185" s="218"/>
      <c r="N185" s="206"/>
      <c r="O185" s="165"/>
      <c r="P185" s="165"/>
      <c r="Q185" s="165"/>
      <c r="R185" s="165"/>
    </row>
    <row r="186" spans="1:18" ht="12.75">
      <c r="A186" s="367">
        <f t="shared" si="31"/>
        <v>170</v>
      </c>
      <c r="B186" s="368"/>
      <c r="C186" s="368"/>
      <c r="D186" s="379" t="s">
        <v>41</v>
      </c>
      <c r="E186" s="66" t="s">
        <v>152</v>
      </c>
      <c r="F186" s="375"/>
      <c r="G186" s="50">
        <f t="shared" si="22"/>
        <v>2348.98</v>
      </c>
      <c r="H186" s="375">
        <v>0</v>
      </c>
      <c r="I186" s="375">
        <v>0</v>
      </c>
      <c r="J186" s="447">
        <v>948.98</v>
      </c>
      <c r="K186" s="375">
        <v>1400</v>
      </c>
      <c r="L186" s="218"/>
      <c r="M186" s="218"/>
      <c r="N186" s="206"/>
      <c r="O186" s="165"/>
      <c r="P186" s="165"/>
      <c r="Q186" s="165"/>
      <c r="R186" s="165"/>
    </row>
    <row r="187" spans="1:18" ht="12.75">
      <c r="A187" s="367">
        <f t="shared" si="31"/>
        <v>171</v>
      </c>
      <c r="B187" s="368"/>
      <c r="C187" s="368"/>
      <c r="D187" s="379" t="s">
        <v>154</v>
      </c>
      <c r="E187" s="66" t="s">
        <v>155</v>
      </c>
      <c r="F187" s="375"/>
      <c r="G187" s="50">
        <f t="shared" si="22"/>
        <v>1488.78</v>
      </c>
      <c r="H187" s="375">
        <v>0</v>
      </c>
      <c r="I187" s="375">
        <v>0</v>
      </c>
      <c r="J187" s="447">
        <v>588.78</v>
      </c>
      <c r="K187" s="375">
        <v>900</v>
      </c>
      <c r="L187" s="218"/>
      <c r="M187" s="218"/>
      <c r="N187" s="206"/>
      <c r="O187" s="165"/>
      <c r="P187" s="165"/>
      <c r="Q187" s="165"/>
      <c r="R187" s="165"/>
    </row>
    <row r="188" spans="1:18" ht="12.75">
      <c r="A188" s="367">
        <f t="shared" si="31"/>
        <v>172</v>
      </c>
      <c r="B188" s="368"/>
      <c r="C188" s="368"/>
      <c r="D188" s="379" t="s">
        <v>157</v>
      </c>
      <c r="E188" s="66" t="s">
        <v>158</v>
      </c>
      <c r="F188" s="375"/>
      <c r="G188" s="50">
        <f t="shared" si="22"/>
        <v>0</v>
      </c>
      <c r="H188" s="375">
        <v>0</v>
      </c>
      <c r="I188" s="375">
        <v>0</v>
      </c>
      <c r="J188" s="447">
        <v>0</v>
      </c>
      <c r="K188" s="375">
        <v>0</v>
      </c>
      <c r="L188" s="218"/>
      <c r="M188" s="218"/>
      <c r="N188" s="206"/>
      <c r="O188" s="165"/>
      <c r="P188" s="165"/>
      <c r="Q188" s="165"/>
      <c r="R188" s="165"/>
    </row>
    <row r="189" spans="1:18" ht="12.75">
      <c r="A189" s="367">
        <f t="shared" si="31"/>
        <v>173</v>
      </c>
      <c r="B189" s="368"/>
      <c r="C189" s="368"/>
      <c r="D189" s="379" t="s">
        <v>65</v>
      </c>
      <c r="E189" s="66" t="s">
        <v>159</v>
      </c>
      <c r="F189" s="375"/>
      <c r="G189" s="50">
        <f t="shared" si="22"/>
        <v>0</v>
      </c>
      <c r="H189" s="375">
        <v>0</v>
      </c>
      <c r="I189" s="375">
        <v>0</v>
      </c>
      <c r="J189" s="447">
        <v>0</v>
      </c>
      <c r="K189" s="375">
        <v>0</v>
      </c>
      <c r="L189" s="218"/>
      <c r="M189" s="218"/>
      <c r="N189" s="206"/>
      <c r="O189" s="165"/>
      <c r="P189" s="165"/>
      <c r="Q189" s="165"/>
      <c r="R189" s="165"/>
    </row>
    <row r="190" spans="1:18" ht="12.75">
      <c r="A190" s="367">
        <f t="shared" si="31"/>
        <v>174</v>
      </c>
      <c r="B190" s="368"/>
      <c r="C190" s="368"/>
      <c r="D190" s="379" t="s">
        <v>160</v>
      </c>
      <c r="E190" s="66" t="s">
        <v>264</v>
      </c>
      <c r="F190" s="375"/>
      <c r="G190" s="50">
        <f aca="true" t="shared" si="35" ref="G190:G253">H190+I190+J190+K190</f>
        <v>0</v>
      </c>
      <c r="H190" s="375">
        <v>0</v>
      </c>
      <c r="I190" s="375">
        <v>0</v>
      </c>
      <c r="J190" s="447">
        <v>0</v>
      </c>
      <c r="K190" s="375">
        <v>0</v>
      </c>
      <c r="L190" s="218"/>
      <c r="M190" s="218"/>
      <c r="N190" s="206"/>
      <c r="O190" s="165"/>
      <c r="P190" s="165"/>
      <c r="Q190" s="165"/>
      <c r="R190" s="165"/>
    </row>
    <row r="191" spans="1:18" ht="12.75">
      <c r="A191" s="367">
        <f t="shared" si="31"/>
        <v>175</v>
      </c>
      <c r="B191" s="368"/>
      <c r="C191" s="368"/>
      <c r="D191" s="369">
        <v>10</v>
      </c>
      <c r="E191" s="66" t="s">
        <v>162</v>
      </c>
      <c r="F191" s="375"/>
      <c r="G191" s="50">
        <f t="shared" si="35"/>
        <v>0</v>
      </c>
      <c r="H191" s="375">
        <v>0</v>
      </c>
      <c r="I191" s="375">
        <v>0</v>
      </c>
      <c r="J191" s="447">
        <v>0</v>
      </c>
      <c r="K191" s="375">
        <v>0</v>
      </c>
      <c r="L191" s="218"/>
      <c r="M191" s="218"/>
      <c r="N191" s="206"/>
      <c r="O191" s="165"/>
      <c r="P191" s="165"/>
      <c r="Q191" s="165"/>
      <c r="R191" s="165"/>
    </row>
    <row r="192" spans="1:18" ht="12.75">
      <c r="A192" s="367">
        <f t="shared" si="31"/>
        <v>176</v>
      </c>
      <c r="B192" s="368"/>
      <c r="C192" s="368"/>
      <c r="D192" s="369">
        <v>11</v>
      </c>
      <c r="E192" s="66" t="s">
        <v>163</v>
      </c>
      <c r="F192" s="375"/>
      <c r="G192" s="50">
        <f t="shared" si="35"/>
        <v>1016.36</v>
      </c>
      <c r="H192" s="375">
        <v>0</v>
      </c>
      <c r="I192" s="375">
        <v>0</v>
      </c>
      <c r="J192" s="447">
        <v>406.36</v>
      </c>
      <c r="K192" s="375">
        <v>610</v>
      </c>
      <c r="L192" s="218"/>
      <c r="M192" s="218"/>
      <c r="N192" s="206"/>
      <c r="O192" s="165"/>
      <c r="P192" s="165"/>
      <c r="Q192" s="165"/>
      <c r="R192" s="165"/>
    </row>
    <row r="193" spans="1:18" ht="12.75">
      <c r="A193" s="367">
        <f t="shared" si="31"/>
        <v>177</v>
      </c>
      <c r="B193" s="368"/>
      <c r="C193" s="368"/>
      <c r="D193" s="369">
        <v>12</v>
      </c>
      <c r="E193" s="66" t="s">
        <v>164</v>
      </c>
      <c r="F193" s="375"/>
      <c r="G193" s="50">
        <f t="shared" si="35"/>
        <v>0</v>
      </c>
      <c r="H193" s="375">
        <v>0</v>
      </c>
      <c r="I193" s="375">
        <v>0</v>
      </c>
      <c r="J193" s="447">
        <v>0</v>
      </c>
      <c r="K193" s="375">
        <v>0</v>
      </c>
      <c r="L193" s="218"/>
      <c r="M193" s="218"/>
      <c r="N193" s="206"/>
      <c r="O193" s="165"/>
      <c r="P193" s="165"/>
      <c r="Q193" s="165"/>
      <c r="R193" s="165"/>
    </row>
    <row r="194" spans="1:18" ht="12.75">
      <c r="A194" s="367">
        <f t="shared" si="31"/>
        <v>178</v>
      </c>
      <c r="B194" s="368"/>
      <c r="C194" s="368"/>
      <c r="D194" s="369">
        <v>13</v>
      </c>
      <c r="E194" s="66" t="s">
        <v>165</v>
      </c>
      <c r="F194" s="375"/>
      <c r="G194" s="50">
        <f t="shared" si="35"/>
        <v>2</v>
      </c>
      <c r="H194" s="375">
        <v>0</v>
      </c>
      <c r="I194" s="375">
        <v>0</v>
      </c>
      <c r="J194" s="447">
        <v>1</v>
      </c>
      <c r="K194" s="375">
        <v>1</v>
      </c>
      <c r="L194" s="218"/>
      <c r="M194" s="218"/>
      <c r="N194" s="206"/>
      <c r="O194" s="165"/>
      <c r="P194" s="165"/>
      <c r="Q194" s="165"/>
      <c r="R194" s="165"/>
    </row>
    <row r="195" spans="1:18" ht="12.75">
      <c r="A195" s="367">
        <f t="shared" si="31"/>
        <v>179</v>
      </c>
      <c r="B195" s="368"/>
      <c r="C195" s="368"/>
      <c r="D195" s="369">
        <v>14</v>
      </c>
      <c r="E195" s="66" t="s">
        <v>166</v>
      </c>
      <c r="F195" s="375"/>
      <c r="G195" s="50">
        <f t="shared" si="35"/>
        <v>0</v>
      </c>
      <c r="H195" s="375">
        <v>0</v>
      </c>
      <c r="I195" s="375">
        <v>0</v>
      </c>
      <c r="J195" s="447">
        <v>0</v>
      </c>
      <c r="K195" s="375">
        <v>0</v>
      </c>
      <c r="L195" s="218"/>
      <c r="M195" s="218"/>
      <c r="N195" s="206"/>
      <c r="O195" s="165"/>
      <c r="P195" s="165"/>
      <c r="Q195" s="165"/>
      <c r="R195" s="165"/>
    </row>
    <row r="196" spans="1:18" ht="12.75">
      <c r="A196" s="367">
        <f t="shared" si="31"/>
        <v>180</v>
      </c>
      <c r="B196" s="368"/>
      <c r="C196" s="368"/>
      <c r="D196" s="369">
        <v>15</v>
      </c>
      <c r="E196" s="66" t="s">
        <v>167</v>
      </c>
      <c r="F196" s="375"/>
      <c r="G196" s="50">
        <f t="shared" si="35"/>
        <v>0</v>
      </c>
      <c r="H196" s="375">
        <v>0</v>
      </c>
      <c r="I196" s="375">
        <v>0</v>
      </c>
      <c r="J196" s="447">
        <v>0</v>
      </c>
      <c r="K196" s="375">
        <v>0</v>
      </c>
      <c r="L196" s="218"/>
      <c r="M196" s="218"/>
      <c r="N196" s="206"/>
      <c r="O196" s="165"/>
      <c r="P196" s="165"/>
      <c r="Q196" s="165"/>
      <c r="R196" s="165"/>
    </row>
    <row r="197" spans="1:18" ht="12.75">
      <c r="A197" s="367">
        <f t="shared" si="31"/>
        <v>181</v>
      </c>
      <c r="B197" s="368"/>
      <c r="C197" s="368"/>
      <c r="D197" s="369">
        <v>16</v>
      </c>
      <c r="E197" s="66" t="s">
        <v>168</v>
      </c>
      <c r="F197" s="375"/>
      <c r="G197" s="50">
        <f t="shared" si="35"/>
        <v>0</v>
      </c>
      <c r="H197" s="375">
        <v>0</v>
      </c>
      <c r="I197" s="375">
        <v>0</v>
      </c>
      <c r="J197" s="447">
        <v>0</v>
      </c>
      <c r="K197" s="375">
        <v>0</v>
      </c>
      <c r="L197" s="218"/>
      <c r="M197" s="218"/>
      <c r="N197" s="206"/>
      <c r="O197" s="165"/>
      <c r="P197" s="165"/>
      <c r="Q197" s="165"/>
      <c r="R197" s="165"/>
    </row>
    <row r="198" spans="1:18" ht="12.75">
      <c r="A198" s="367">
        <f t="shared" si="31"/>
        <v>182</v>
      </c>
      <c r="B198" s="368"/>
      <c r="C198" s="368"/>
      <c r="D198" s="369">
        <v>30</v>
      </c>
      <c r="E198" s="66" t="s">
        <v>169</v>
      </c>
      <c r="F198" s="375"/>
      <c r="G198" s="50">
        <f t="shared" si="35"/>
        <v>0</v>
      </c>
      <c r="H198" s="375">
        <v>0</v>
      </c>
      <c r="I198" s="375">
        <v>0</v>
      </c>
      <c r="J198" s="447">
        <v>0</v>
      </c>
      <c r="K198" s="375">
        <v>0</v>
      </c>
      <c r="L198" s="218"/>
      <c r="M198" s="218"/>
      <c r="N198" s="206"/>
      <c r="O198" s="165"/>
      <c r="P198" s="165"/>
      <c r="Q198" s="165"/>
      <c r="R198" s="165"/>
    </row>
    <row r="199" spans="1:18" ht="12.75">
      <c r="A199" s="367">
        <f t="shared" si="31"/>
        <v>183</v>
      </c>
      <c r="B199" s="368"/>
      <c r="C199" s="377" t="s">
        <v>80</v>
      </c>
      <c r="D199" s="369"/>
      <c r="E199" s="85" t="s">
        <v>170</v>
      </c>
      <c r="F199" s="49">
        <f>+F200+F201+F202+F203+F204+F205</f>
        <v>0</v>
      </c>
      <c r="G199" s="50">
        <f t="shared" si="35"/>
        <v>1367.62</v>
      </c>
      <c r="H199" s="49">
        <f>+H200+H201+H202+H203+H204+H205</f>
        <v>0</v>
      </c>
      <c r="I199" s="49">
        <f>+I200+I201+I202+I203+I204+I205</f>
        <v>0</v>
      </c>
      <c r="J199" s="209">
        <f>+J200+J201+J202+J203+J204+J205</f>
        <v>587.62</v>
      </c>
      <c r="K199" s="49">
        <f>+K200+K201+K202+K203+K204+K205</f>
        <v>780</v>
      </c>
      <c r="L199" s="218"/>
      <c r="M199" s="216"/>
      <c r="N199" s="206"/>
      <c r="O199" s="165"/>
      <c r="P199" s="165"/>
      <c r="Q199" s="165"/>
      <c r="R199" s="165"/>
    </row>
    <row r="200" spans="1:18" ht="12.75">
      <c r="A200" s="367">
        <f t="shared" si="31"/>
        <v>184</v>
      </c>
      <c r="B200" s="368"/>
      <c r="C200" s="368"/>
      <c r="D200" s="379" t="s">
        <v>47</v>
      </c>
      <c r="E200" s="66" t="s">
        <v>265</v>
      </c>
      <c r="F200" s="375"/>
      <c r="G200" s="50">
        <f t="shared" si="35"/>
        <v>1367.62</v>
      </c>
      <c r="H200" s="375">
        <v>0</v>
      </c>
      <c r="I200" s="375">
        <v>0</v>
      </c>
      <c r="J200" s="457">
        <v>587.62</v>
      </c>
      <c r="K200" s="375">
        <v>780</v>
      </c>
      <c r="L200" s="218"/>
      <c r="M200" s="218"/>
      <c r="N200" s="206"/>
      <c r="O200" s="165"/>
      <c r="P200" s="165"/>
      <c r="Q200" s="165"/>
      <c r="R200" s="165"/>
    </row>
    <row r="201" spans="1:18" ht="12.75">
      <c r="A201" s="367">
        <f t="shared" si="31"/>
        <v>185</v>
      </c>
      <c r="B201" s="368"/>
      <c r="C201" s="368"/>
      <c r="D201" s="379" t="s">
        <v>80</v>
      </c>
      <c r="E201" s="66" t="s">
        <v>266</v>
      </c>
      <c r="F201" s="375"/>
      <c r="G201" s="50">
        <f t="shared" si="35"/>
        <v>0</v>
      </c>
      <c r="H201" s="375">
        <v>0</v>
      </c>
      <c r="I201" s="375">
        <v>0</v>
      </c>
      <c r="J201" s="447">
        <v>0</v>
      </c>
      <c r="K201" s="375">
        <v>0</v>
      </c>
      <c r="L201" s="218"/>
      <c r="M201" s="218"/>
      <c r="N201" s="206"/>
      <c r="O201" s="165"/>
      <c r="P201" s="165"/>
      <c r="Q201" s="165"/>
      <c r="R201" s="165"/>
    </row>
    <row r="202" spans="1:18" ht="12.75">
      <c r="A202" s="367">
        <f t="shared" si="31"/>
        <v>186</v>
      </c>
      <c r="B202" s="368"/>
      <c r="C202" s="368"/>
      <c r="D202" s="379" t="s">
        <v>84</v>
      </c>
      <c r="E202" s="66" t="s">
        <v>173</v>
      </c>
      <c r="F202" s="375"/>
      <c r="G202" s="50">
        <f t="shared" si="35"/>
        <v>0</v>
      </c>
      <c r="H202" s="375">
        <v>0</v>
      </c>
      <c r="I202" s="375">
        <v>0</v>
      </c>
      <c r="J202" s="447">
        <v>0</v>
      </c>
      <c r="K202" s="375">
        <v>0</v>
      </c>
      <c r="L202" s="218"/>
      <c r="M202" s="218"/>
      <c r="N202" s="206"/>
      <c r="O202" s="165"/>
      <c r="P202" s="165"/>
      <c r="Q202" s="165"/>
      <c r="R202" s="165"/>
    </row>
    <row r="203" spans="1:18" ht="12.75">
      <c r="A203" s="367">
        <f t="shared" si="31"/>
        <v>187</v>
      </c>
      <c r="B203" s="368"/>
      <c r="C203" s="368"/>
      <c r="D203" s="379" t="s">
        <v>108</v>
      </c>
      <c r="E203" s="66" t="s">
        <v>267</v>
      </c>
      <c r="F203" s="375"/>
      <c r="G203" s="50">
        <f t="shared" si="35"/>
        <v>0</v>
      </c>
      <c r="H203" s="375">
        <v>0</v>
      </c>
      <c r="I203" s="375">
        <v>0</v>
      </c>
      <c r="J203" s="447">
        <v>0</v>
      </c>
      <c r="K203" s="375">
        <v>0</v>
      </c>
      <c r="L203" s="218"/>
      <c r="M203" s="218"/>
      <c r="N203" s="206"/>
      <c r="O203" s="165"/>
      <c r="P203" s="165"/>
      <c r="Q203" s="165"/>
      <c r="R203" s="165"/>
    </row>
    <row r="204" spans="1:18" ht="12.75">
      <c r="A204" s="367">
        <f t="shared" si="31"/>
        <v>188</v>
      </c>
      <c r="B204" s="368"/>
      <c r="C204" s="368"/>
      <c r="D204" s="379" t="s">
        <v>41</v>
      </c>
      <c r="E204" s="66" t="s">
        <v>268</v>
      </c>
      <c r="F204" s="375"/>
      <c r="G204" s="50">
        <f t="shared" si="35"/>
        <v>0</v>
      </c>
      <c r="H204" s="375">
        <v>0</v>
      </c>
      <c r="I204" s="375">
        <v>0</v>
      </c>
      <c r="J204" s="447">
        <v>0</v>
      </c>
      <c r="K204" s="375">
        <v>0</v>
      </c>
      <c r="L204" s="218"/>
      <c r="M204" s="218"/>
      <c r="N204" s="206"/>
      <c r="O204" s="165"/>
      <c r="P204" s="165"/>
      <c r="Q204" s="165"/>
      <c r="R204" s="165"/>
    </row>
    <row r="205" spans="1:18" ht="12.75">
      <c r="A205" s="367">
        <f t="shared" si="31"/>
        <v>189</v>
      </c>
      <c r="B205" s="368"/>
      <c r="C205" s="368"/>
      <c r="D205" s="369">
        <v>30</v>
      </c>
      <c r="E205" s="66" t="s">
        <v>176</v>
      </c>
      <c r="F205" s="375"/>
      <c r="G205" s="50">
        <f t="shared" si="35"/>
        <v>0</v>
      </c>
      <c r="H205" s="375">
        <v>0</v>
      </c>
      <c r="I205" s="375">
        <v>0</v>
      </c>
      <c r="J205" s="447">
        <v>0</v>
      </c>
      <c r="K205" s="375">
        <v>0</v>
      </c>
      <c r="L205" s="218"/>
      <c r="M205" s="218"/>
      <c r="N205" s="206"/>
      <c r="O205" s="165"/>
      <c r="P205" s="165"/>
      <c r="Q205" s="165"/>
      <c r="R205" s="165"/>
    </row>
    <row r="206" spans="1:18" ht="12.75">
      <c r="A206" s="367">
        <f t="shared" si="31"/>
        <v>190</v>
      </c>
      <c r="B206" s="368"/>
      <c r="C206" s="377" t="s">
        <v>84</v>
      </c>
      <c r="D206" s="369"/>
      <c r="E206" s="85" t="s">
        <v>177</v>
      </c>
      <c r="F206" s="49">
        <f>+F207+F208+F209+F210+F211+F212+F213</f>
        <v>0</v>
      </c>
      <c r="G206" s="50">
        <f t="shared" si="35"/>
        <v>5062.43</v>
      </c>
      <c r="H206" s="49">
        <f>+H207+H208+H209+H210+H211+H212+H213</f>
        <v>0</v>
      </c>
      <c r="I206" s="49">
        <f>+I207+I208+I209+I210+I211+I212+I213</f>
        <v>0</v>
      </c>
      <c r="J206" s="209">
        <f>+J207+J208+J209+J210+J211+J212+J213</f>
        <v>2069.43</v>
      </c>
      <c r="K206" s="49">
        <f>+K207+K208+K209+K210+K211+K212+K213</f>
        <v>2993</v>
      </c>
      <c r="L206" s="218"/>
      <c r="M206" s="216"/>
      <c r="N206" s="206"/>
      <c r="O206" s="204"/>
      <c r="P206" s="165"/>
      <c r="Q206" s="165"/>
      <c r="R206" s="165"/>
    </row>
    <row r="207" spans="1:18" ht="12.75">
      <c r="A207" s="367">
        <f t="shared" si="31"/>
        <v>191</v>
      </c>
      <c r="B207" s="368"/>
      <c r="C207" s="368"/>
      <c r="D207" s="379" t="s">
        <v>47</v>
      </c>
      <c r="E207" s="66" t="s">
        <v>178</v>
      </c>
      <c r="F207" s="375"/>
      <c r="G207" s="50">
        <f t="shared" si="35"/>
        <v>3849.7799999999997</v>
      </c>
      <c r="H207" s="375">
        <v>0</v>
      </c>
      <c r="I207" s="375">
        <v>0</v>
      </c>
      <c r="J207" s="447">
        <v>1569.78</v>
      </c>
      <c r="K207" s="375">
        <v>2280</v>
      </c>
      <c r="L207" s="218"/>
      <c r="M207" s="218"/>
      <c r="N207" s="206"/>
      <c r="O207" s="205"/>
      <c r="P207" s="165"/>
      <c r="Q207" s="165"/>
      <c r="R207" s="165"/>
    </row>
    <row r="208" spans="1:18" ht="12.75">
      <c r="A208" s="367">
        <f t="shared" si="31"/>
        <v>192</v>
      </c>
      <c r="B208" s="368"/>
      <c r="C208" s="368"/>
      <c r="D208" s="379" t="s">
        <v>80</v>
      </c>
      <c r="E208" s="66" t="s">
        <v>179</v>
      </c>
      <c r="F208" s="375"/>
      <c r="G208" s="50">
        <f t="shared" si="35"/>
        <v>88.37</v>
      </c>
      <c r="H208" s="375">
        <v>0</v>
      </c>
      <c r="I208" s="375">
        <v>0</v>
      </c>
      <c r="J208" s="447">
        <v>35.37</v>
      </c>
      <c r="K208" s="375">
        <v>53</v>
      </c>
      <c r="L208" s="218"/>
      <c r="M208" s="218"/>
      <c r="N208" s="206"/>
      <c r="O208" s="205"/>
      <c r="P208" s="165"/>
      <c r="Q208" s="165"/>
      <c r="R208" s="165"/>
    </row>
    <row r="209" spans="1:18" ht="12.75">
      <c r="A209" s="367">
        <f t="shared" si="31"/>
        <v>193</v>
      </c>
      <c r="B209" s="368"/>
      <c r="C209" s="368"/>
      <c r="D209" s="379" t="s">
        <v>84</v>
      </c>
      <c r="E209" s="66" t="s">
        <v>180</v>
      </c>
      <c r="F209" s="375"/>
      <c r="G209" s="50">
        <f t="shared" si="35"/>
        <v>933.76</v>
      </c>
      <c r="H209" s="375">
        <v>0</v>
      </c>
      <c r="I209" s="375">
        <v>0</v>
      </c>
      <c r="J209" s="447">
        <v>373.76</v>
      </c>
      <c r="K209" s="375">
        <v>560</v>
      </c>
      <c r="L209" s="218"/>
      <c r="M209" s="218"/>
      <c r="N209" s="206"/>
      <c r="O209" s="205"/>
      <c r="P209" s="165"/>
      <c r="Q209" s="165"/>
      <c r="R209" s="165"/>
    </row>
    <row r="210" spans="1:18" ht="12.75">
      <c r="A210" s="367">
        <f t="shared" si="31"/>
        <v>194</v>
      </c>
      <c r="B210" s="368"/>
      <c r="C210" s="368"/>
      <c r="D210" s="379" t="s">
        <v>108</v>
      </c>
      <c r="E210" s="66" t="s">
        <v>269</v>
      </c>
      <c r="F210" s="375"/>
      <c r="G210" s="50">
        <f t="shared" si="35"/>
        <v>49.85</v>
      </c>
      <c r="H210" s="375">
        <v>0</v>
      </c>
      <c r="I210" s="375">
        <v>0</v>
      </c>
      <c r="J210" s="447">
        <v>19.85</v>
      </c>
      <c r="K210" s="375">
        <v>30</v>
      </c>
      <c r="L210" s="218"/>
      <c r="M210" s="218"/>
      <c r="N210" s="206"/>
      <c r="O210" s="205"/>
      <c r="P210" s="165"/>
      <c r="Q210" s="165"/>
      <c r="R210" s="165"/>
    </row>
    <row r="211" spans="1:18" ht="12.75">
      <c r="A211" s="367">
        <f t="shared" si="31"/>
        <v>195</v>
      </c>
      <c r="B211" s="368"/>
      <c r="C211" s="368"/>
      <c r="D211" s="379" t="s">
        <v>41</v>
      </c>
      <c r="E211" s="66" t="s">
        <v>182</v>
      </c>
      <c r="F211" s="375"/>
      <c r="G211" s="50">
        <f t="shared" si="35"/>
        <v>0</v>
      </c>
      <c r="H211" s="375">
        <v>0</v>
      </c>
      <c r="I211" s="375">
        <v>0</v>
      </c>
      <c r="J211" s="447">
        <v>0</v>
      </c>
      <c r="K211" s="375">
        <v>0</v>
      </c>
      <c r="L211" s="218"/>
      <c r="M211" s="218"/>
      <c r="N211" s="206"/>
      <c r="O211" s="205"/>
      <c r="P211" s="165"/>
      <c r="Q211" s="165"/>
      <c r="R211" s="165"/>
    </row>
    <row r="212" spans="1:18" ht="12.75">
      <c r="A212" s="367">
        <f t="shared" si="31"/>
        <v>196</v>
      </c>
      <c r="B212" s="368"/>
      <c r="C212" s="368"/>
      <c r="D212" s="379" t="s">
        <v>154</v>
      </c>
      <c r="E212" s="66" t="s">
        <v>183</v>
      </c>
      <c r="F212" s="375"/>
      <c r="G212" s="50">
        <f t="shared" si="35"/>
        <v>140.67000000000002</v>
      </c>
      <c r="H212" s="375">
        <v>0</v>
      </c>
      <c r="I212" s="375">
        <v>0</v>
      </c>
      <c r="J212" s="447">
        <v>70.67</v>
      </c>
      <c r="K212" s="375">
        <v>70</v>
      </c>
      <c r="L212" s="218"/>
      <c r="M212" s="218"/>
      <c r="N212" s="206"/>
      <c r="O212" s="205"/>
      <c r="P212" s="165"/>
      <c r="Q212" s="165"/>
      <c r="R212" s="165"/>
    </row>
    <row r="213" spans="1:18" ht="12.75">
      <c r="A213" s="367">
        <f t="shared" si="31"/>
        <v>197</v>
      </c>
      <c r="B213" s="368"/>
      <c r="C213" s="368"/>
      <c r="D213" s="379" t="s">
        <v>157</v>
      </c>
      <c r="E213" s="66" t="s">
        <v>184</v>
      </c>
      <c r="F213" s="375"/>
      <c r="G213" s="50">
        <f t="shared" si="35"/>
        <v>0</v>
      </c>
      <c r="H213" s="375">
        <v>0</v>
      </c>
      <c r="I213" s="375">
        <v>0</v>
      </c>
      <c r="J213" s="447">
        <v>0</v>
      </c>
      <c r="K213" s="375">
        <v>0</v>
      </c>
      <c r="L213" s="218"/>
      <c r="M213" s="218"/>
      <c r="N213" s="206"/>
      <c r="O213" s="205"/>
      <c r="P213" s="165"/>
      <c r="Q213" s="165"/>
      <c r="R213" s="165"/>
    </row>
    <row r="214" spans="1:18" ht="12.75">
      <c r="A214" s="367">
        <f t="shared" si="31"/>
        <v>198</v>
      </c>
      <c r="B214" s="368">
        <v>20</v>
      </c>
      <c r="C214" s="368"/>
      <c r="D214" s="369"/>
      <c r="E214" s="85" t="s">
        <v>270</v>
      </c>
      <c r="F214" s="49">
        <f>+F215+F226+F227+F230+F235+F242+F243+F244+F245+F246+F247+F248+F250+F239</f>
        <v>0</v>
      </c>
      <c r="G214" s="50">
        <f t="shared" si="35"/>
        <v>33214.979999999996</v>
      </c>
      <c r="H214" s="124">
        <f>+H215+H226+H227+H230+H235+H242+H243+H244+H245+H246+H247+H248+H250+H239</f>
        <v>0</v>
      </c>
      <c r="I214" s="124">
        <f>+I215+I226+I227+I230+I235+I242+I243+I244+I245+I246+I247+I248+I250+I239</f>
        <v>0</v>
      </c>
      <c r="J214" s="209">
        <f>+J215+J226+J227+J230+J235+J242+J243+J244+J245+J246+J247+J248+J250+J239</f>
        <v>15567.699999999999</v>
      </c>
      <c r="K214" s="49">
        <f>+K215+K226+K227+K230+K235+K242+K243+K244+K245+K246+K247+K248+K250+K239</f>
        <v>17647.28</v>
      </c>
      <c r="L214" s="218"/>
      <c r="M214" s="216"/>
      <c r="N214" s="206"/>
      <c r="O214" s="205"/>
      <c r="P214" s="165"/>
      <c r="Q214" s="165"/>
      <c r="R214" s="165"/>
    </row>
    <row r="215" spans="1:18" ht="12.75">
      <c r="A215" s="367">
        <f t="shared" si="31"/>
        <v>199</v>
      </c>
      <c r="B215" s="368"/>
      <c r="C215" s="377" t="s">
        <v>47</v>
      </c>
      <c r="D215" s="369"/>
      <c r="E215" s="85" t="s">
        <v>130</v>
      </c>
      <c r="F215" s="49">
        <f>+F216+F217+F218+F219+F220+F221+F222+F223+F224+F225</f>
        <v>0</v>
      </c>
      <c r="G215" s="50">
        <f t="shared" si="35"/>
        <v>9286.95</v>
      </c>
      <c r="H215" s="124">
        <f>+H216+H217+H218+H219+H220+H221+H222+H223+H224+H225</f>
        <v>0</v>
      </c>
      <c r="I215" s="124">
        <f>+I216+I217+I218+I219+I220+I221+I222+I223+I224+I225</f>
        <v>0</v>
      </c>
      <c r="J215" s="209">
        <f>+J216+J217+J218+J219+J220+J221+J222+J223+J224+J225</f>
        <v>2517.08</v>
      </c>
      <c r="K215" s="49">
        <f>+K216+K217+K218+K219+K220+K221+K222+K223+K224+K225</f>
        <v>6769.870000000001</v>
      </c>
      <c r="L215" s="218"/>
      <c r="M215" s="216"/>
      <c r="N215" s="206"/>
      <c r="O215" s="205"/>
      <c r="P215" s="165"/>
      <c r="Q215" s="165"/>
      <c r="R215" s="165"/>
    </row>
    <row r="216" spans="1:18" ht="12.75">
      <c r="A216" s="367">
        <f t="shared" si="31"/>
        <v>200</v>
      </c>
      <c r="B216" s="368"/>
      <c r="C216" s="368"/>
      <c r="D216" s="379" t="s">
        <v>47</v>
      </c>
      <c r="E216" s="66" t="s">
        <v>186</v>
      </c>
      <c r="F216" s="375"/>
      <c r="G216" s="50">
        <f t="shared" si="35"/>
        <v>138.04</v>
      </c>
      <c r="H216" s="375">
        <v>0</v>
      </c>
      <c r="I216" s="375">
        <v>0</v>
      </c>
      <c r="J216" s="447">
        <v>69.02</v>
      </c>
      <c r="K216" s="375">
        <v>69.02</v>
      </c>
      <c r="L216" s="218"/>
      <c r="M216" s="218"/>
      <c r="N216" s="206"/>
      <c r="O216" s="205"/>
      <c r="P216" s="165"/>
      <c r="Q216" s="165"/>
      <c r="R216" s="165"/>
    </row>
    <row r="217" spans="1:18" ht="12.75">
      <c r="A217" s="367">
        <f t="shared" si="31"/>
        <v>201</v>
      </c>
      <c r="B217" s="368"/>
      <c r="C217" s="368"/>
      <c r="D217" s="379" t="s">
        <v>80</v>
      </c>
      <c r="E217" s="66" t="s">
        <v>187</v>
      </c>
      <c r="F217" s="375"/>
      <c r="G217" s="50">
        <f t="shared" si="35"/>
        <v>116.6</v>
      </c>
      <c r="H217" s="375">
        <v>0</v>
      </c>
      <c r="I217" s="375">
        <v>0</v>
      </c>
      <c r="J217" s="447">
        <v>58.3</v>
      </c>
      <c r="K217" s="375">
        <f>88.12-29.82</f>
        <v>58.300000000000004</v>
      </c>
      <c r="L217" s="218"/>
      <c r="M217" s="218"/>
      <c r="N217" s="206"/>
      <c r="O217" s="205"/>
      <c r="P217" s="165"/>
      <c r="Q217" s="165"/>
      <c r="R217" s="165"/>
    </row>
    <row r="218" spans="1:18" ht="12.75">
      <c r="A218" s="367">
        <f t="shared" si="31"/>
        <v>202</v>
      </c>
      <c r="B218" s="368"/>
      <c r="C218" s="368"/>
      <c r="D218" s="379" t="s">
        <v>84</v>
      </c>
      <c r="E218" s="66" t="s">
        <v>188</v>
      </c>
      <c r="F218" s="375"/>
      <c r="G218" s="50">
        <f t="shared" si="35"/>
        <v>2978.88</v>
      </c>
      <c r="H218" s="375">
        <v>0</v>
      </c>
      <c r="I218" s="375">
        <v>0</v>
      </c>
      <c r="J218" s="458">
        <v>832.88</v>
      </c>
      <c r="K218" s="375">
        <f>836+500+400+410</f>
        <v>2146</v>
      </c>
      <c r="L218" s="218"/>
      <c r="M218" s="218"/>
      <c r="N218" s="206"/>
      <c r="O218" s="205"/>
      <c r="P218" s="165"/>
      <c r="Q218" s="165"/>
      <c r="R218" s="165"/>
    </row>
    <row r="219" spans="1:18" ht="12.75">
      <c r="A219" s="367">
        <f t="shared" si="31"/>
        <v>203</v>
      </c>
      <c r="B219" s="368"/>
      <c r="C219" s="368"/>
      <c r="D219" s="379" t="s">
        <v>108</v>
      </c>
      <c r="E219" s="66" t="s">
        <v>189</v>
      </c>
      <c r="F219" s="375"/>
      <c r="G219" s="50">
        <f t="shared" si="35"/>
        <v>929.1</v>
      </c>
      <c r="H219" s="375">
        <v>0</v>
      </c>
      <c r="I219" s="375">
        <v>0</v>
      </c>
      <c r="J219" s="447">
        <v>428.12</v>
      </c>
      <c r="K219" s="375">
        <v>500.98</v>
      </c>
      <c r="L219" s="218"/>
      <c r="M219" s="218"/>
      <c r="N219" s="206"/>
      <c r="O219" s="205"/>
      <c r="P219" s="165"/>
      <c r="Q219" s="165"/>
      <c r="R219" s="165"/>
    </row>
    <row r="220" spans="1:18" ht="12.75">
      <c r="A220" s="367">
        <f t="shared" si="31"/>
        <v>204</v>
      </c>
      <c r="B220" s="368"/>
      <c r="C220" s="368"/>
      <c r="D220" s="379" t="s">
        <v>41</v>
      </c>
      <c r="E220" s="66" t="s">
        <v>190</v>
      </c>
      <c r="F220" s="375"/>
      <c r="G220" s="50">
        <f t="shared" si="35"/>
        <v>50</v>
      </c>
      <c r="H220" s="375">
        <v>0</v>
      </c>
      <c r="I220" s="375">
        <v>0</v>
      </c>
      <c r="J220" s="447">
        <v>25</v>
      </c>
      <c r="K220" s="375">
        <v>25</v>
      </c>
      <c r="L220" s="218"/>
      <c r="M220" s="218"/>
      <c r="N220" s="206"/>
      <c r="O220" s="205"/>
      <c r="P220" s="165"/>
      <c r="Q220" s="165"/>
      <c r="R220" s="165"/>
    </row>
    <row r="221" spans="1:18" ht="12.75">
      <c r="A221" s="367">
        <f t="shared" si="31"/>
        <v>205</v>
      </c>
      <c r="B221" s="368"/>
      <c r="C221" s="368"/>
      <c r="D221" s="379" t="s">
        <v>154</v>
      </c>
      <c r="E221" s="66" t="s">
        <v>191</v>
      </c>
      <c r="F221" s="375"/>
      <c r="G221" s="50">
        <f t="shared" si="35"/>
        <v>355.24</v>
      </c>
      <c r="H221" s="375">
        <v>0</v>
      </c>
      <c r="I221" s="375">
        <v>0</v>
      </c>
      <c r="J221" s="447">
        <f>188.55+30+29</f>
        <v>247.55</v>
      </c>
      <c r="K221" s="375">
        <v>107.69</v>
      </c>
      <c r="L221" s="218"/>
      <c r="M221" s="218"/>
      <c r="N221" s="206"/>
      <c r="O221" s="205"/>
      <c r="P221" s="165"/>
      <c r="Q221" s="165"/>
      <c r="R221" s="165"/>
    </row>
    <row r="222" spans="1:18" ht="12.75">
      <c r="A222" s="367">
        <f t="shared" si="31"/>
        <v>206</v>
      </c>
      <c r="B222" s="368"/>
      <c r="C222" s="368"/>
      <c r="D222" s="379" t="s">
        <v>157</v>
      </c>
      <c r="E222" s="66" t="s">
        <v>192</v>
      </c>
      <c r="F222" s="375"/>
      <c r="G222" s="50">
        <f t="shared" si="35"/>
        <v>157.09</v>
      </c>
      <c r="H222" s="375">
        <v>0</v>
      </c>
      <c r="I222" s="375">
        <v>0</v>
      </c>
      <c r="J222" s="447">
        <v>79.31</v>
      </c>
      <c r="K222" s="375">
        <f>79.31-1.53</f>
        <v>77.78</v>
      </c>
      <c r="L222" s="218"/>
      <c r="M222" s="218"/>
      <c r="N222" s="206"/>
      <c r="O222" s="205"/>
      <c r="P222" s="165"/>
      <c r="Q222" s="165"/>
      <c r="R222" s="165"/>
    </row>
    <row r="223" spans="1:18" ht="12.75">
      <c r="A223" s="367">
        <f t="shared" si="31"/>
        <v>207</v>
      </c>
      <c r="B223" s="368"/>
      <c r="C223" s="368"/>
      <c r="D223" s="379" t="s">
        <v>65</v>
      </c>
      <c r="E223" s="66" t="s">
        <v>193</v>
      </c>
      <c r="F223" s="375"/>
      <c r="G223" s="50">
        <f t="shared" si="35"/>
        <v>106.01999999999998</v>
      </c>
      <c r="H223" s="375">
        <v>0</v>
      </c>
      <c r="I223" s="375">
        <v>0</v>
      </c>
      <c r="J223" s="447">
        <v>138.01</v>
      </c>
      <c r="K223" s="375">
        <f>153.57-15.56-170</f>
        <v>-31.99000000000001</v>
      </c>
      <c r="L223" s="218"/>
      <c r="M223" s="218"/>
      <c r="N223" s="206"/>
      <c r="O223" s="205"/>
      <c r="P223" s="165"/>
      <c r="Q223" s="165"/>
      <c r="R223" s="165"/>
    </row>
    <row r="224" spans="1:18" ht="12.75">
      <c r="A224" s="367">
        <f t="shared" si="31"/>
        <v>208</v>
      </c>
      <c r="B224" s="368"/>
      <c r="C224" s="368"/>
      <c r="D224" s="379" t="s">
        <v>160</v>
      </c>
      <c r="E224" s="66" t="s">
        <v>194</v>
      </c>
      <c r="F224" s="375"/>
      <c r="G224" s="50">
        <f t="shared" si="35"/>
        <v>91.56</v>
      </c>
      <c r="H224" s="375">
        <v>0</v>
      </c>
      <c r="I224" s="375">
        <v>0</v>
      </c>
      <c r="J224" s="447">
        <v>45.78</v>
      </c>
      <c r="K224" s="375">
        <v>45.78</v>
      </c>
      <c r="L224" s="218"/>
      <c r="M224" s="218"/>
      <c r="N224" s="206"/>
      <c r="O224" s="205"/>
      <c r="P224" s="165"/>
      <c r="Q224" s="165"/>
      <c r="R224" s="165"/>
    </row>
    <row r="225" spans="1:18" ht="12.75">
      <c r="A225" s="367">
        <f t="shared" si="31"/>
        <v>209</v>
      </c>
      <c r="B225" s="368"/>
      <c r="C225" s="368"/>
      <c r="D225" s="369">
        <v>30</v>
      </c>
      <c r="E225" s="66" t="s">
        <v>271</v>
      </c>
      <c r="F225" s="375"/>
      <c r="G225" s="50">
        <f t="shared" si="35"/>
        <v>4364.419999999999</v>
      </c>
      <c r="H225" s="375">
        <v>0</v>
      </c>
      <c r="I225" s="375">
        <v>0</v>
      </c>
      <c r="J225" s="447">
        <v>593.11</v>
      </c>
      <c r="K225" s="375">
        <f>1359.84-504.66-800+600+265.07-3+700+2311.1-200-9.77+19.34+49-15.61</f>
        <v>3771.3099999999995</v>
      </c>
      <c r="L225" s="218"/>
      <c r="M225" s="218"/>
      <c r="N225" s="206"/>
      <c r="O225" s="205"/>
      <c r="P225" s="165"/>
      <c r="Q225" s="165"/>
      <c r="R225" s="165"/>
    </row>
    <row r="226" spans="1:18" ht="12.75">
      <c r="A226" s="367">
        <f t="shared" si="31"/>
        <v>210</v>
      </c>
      <c r="B226" s="368"/>
      <c r="C226" s="377" t="s">
        <v>80</v>
      </c>
      <c r="D226" s="86"/>
      <c r="E226" s="59" t="s">
        <v>196</v>
      </c>
      <c r="F226" s="375"/>
      <c r="G226" s="50">
        <f t="shared" si="35"/>
        <v>43.94</v>
      </c>
      <c r="H226" s="422">
        <v>0</v>
      </c>
      <c r="I226" s="422">
        <v>0</v>
      </c>
      <c r="J226" s="459">
        <v>113.94</v>
      </c>
      <c r="K226" s="422">
        <f>30-100</f>
        <v>-70</v>
      </c>
      <c r="L226" s="218"/>
      <c r="M226" s="218"/>
      <c r="N226" s="206"/>
      <c r="O226" s="205"/>
      <c r="P226" s="165"/>
      <c r="Q226" s="165"/>
      <c r="R226" s="165"/>
    </row>
    <row r="227" spans="1:18" ht="12.75">
      <c r="A227" s="367">
        <f t="shared" si="31"/>
        <v>211</v>
      </c>
      <c r="B227" s="368"/>
      <c r="C227" s="377" t="s">
        <v>84</v>
      </c>
      <c r="D227" s="86"/>
      <c r="E227" s="59" t="s">
        <v>197</v>
      </c>
      <c r="F227" s="49">
        <f>+F228+F229</f>
        <v>0</v>
      </c>
      <c r="G227" s="50">
        <f t="shared" si="35"/>
        <v>3075.26</v>
      </c>
      <c r="H227" s="124">
        <f>+H228+H229</f>
        <v>0</v>
      </c>
      <c r="I227" s="124">
        <f>+I228+I229</f>
        <v>0</v>
      </c>
      <c r="J227" s="209">
        <f>+J228+J229</f>
        <v>725.26</v>
      </c>
      <c r="K227" s="49">
        <f>+K228+K229</f>
        <v>2350</v>
      </c>
      <c r="L227" s="218"/>
      <c r="M227" s="216"/>
      <c r="N227" s="206"/>
      <c r="O227" s="205"/>
      <c r="P227" s="165"/>
      <c r="Q227" s="165"/>
      <c r="R227" s="165"/>
    </row>
    <row r="228" spans="1:18" ht="12.75">
      <c r="A228" s="367">
        <f t="shared" si="31"/>
        <v>212</v>
      </c>
      <c r="B228" s="368"/>
      <c r="C228" s="368"/>
      <c r="D228" s="379" t="s">
        <v>47</v>
      </c>
      <c r="E228" s="66" t="s">
        <v>198</v>
      </c>
      <c r="F228" s="375"/>
      <c r="G228" s="50">
        <f t="shared" si="35"/>
        <v>3075.26</v>
      </c>
      <c r="H228" s="375">
        <v>0</v>
      </c>
      <c r="I228" s="375">
        <v>0</v>
      </c>
      <c r="J228" s="447">
        <v>725.26</v>
      </c>
      <c r="K228" s="375">
        <f>1950+400</f>
        <v>2350</v>
      </c>
      <c r="L228" s="218"/>
      <c r="M228" s="218"/>
      <c r="N228" s="206"/>
      <c r="O228" s="205"/>
      <c r="P228" s="165"/>
      <c r="Q228" s="165"/>
      <c r="R228" s="165"/>
    </row>
    <row r="229" spans="1:18" ht="12.75">
      <c r="A229" s="367">
        <f t="shared" si="31"/>
        <v>213</v>
      </c>
      <c r="B229" s="368"/>
      <c r="C229" s="368"/>
      <c r="D229" s="379" t="s">
        <v>80</v>
      </c>
      <c r="E229" s="66" t="s">
        <v>199</v>
      </c>
      <c r="F229" s="375"/>
      <c r="G229" s="50">
        <f t="shared" si="35"/>
        <v>0</v>
      </c>
      <c r="H229" s="375">
        <v>0</v>
      </c>
      <c r="I229" s="375">
        <v>0</v>
      </c>
      <c r="J229" s="447">
        <v>0</v>
      </c>
      <c r="K229" s="375">
        <v>0</v>
      </c>
      <c r="L229" s="218"/>
      <c r="M229" s="218"/>
      <c r="N229" s="206"/>
      <c r="O229" s="205"/>
      <c r="P229" s="165"/>
      <c r="Q229" s="165"/>
      <c r="R229" s="165"/>
    </row>
    <row r="230" spans="1:18" ht="12.75">
      <c r="A230" s="367">
        <f aca="true" t="shared" si="36" ref="A230:A293">A229+1</f>
        <v>214</v>
      </c>
      <c r="B230" s="368"/>
      <c r="C230" s="377" t="s">
        <v>108</v>
      </c>
      <c r="D230" s="369"/>
      <c r="E230" s="59" t="s">
        <v>200</v>
      </c>
      <c r="F230" s="49">
        <f>+F231+F232+F233+F234</f>
        <v>0</v>
      </c>
      <c r="G230" s="50">
        <f t="shared" si="35"/>
        <v>19393.510000000002</v>
      </c>
      <c r="H230" s="124">
        <f>+H231+H232+H233+H234</f>
        <v>0</v>
      </c>
      <c r="I230" s="124">
        <f>+I231+I232+I233+I234</f>
        <v>0</v>
      </c>
      <c r="J230" s="209">
        <f>+J231+J232+J233+J234</f>
        <v>11366.98</v>
      </c>
      <c r="K230" s="49">
        <f>+K231+K232+K233+K234</f>
        <v>8026.530000000001</v>
      </c>
      <c r="L230" s="218"/>
      <c r="M230" s="216"/>
      <c r="N230" s="206"/>
      <c r="O230" s="205"/>
      <c r="P230" s="165"/>
      <c r="Q230" s="165"/>
      <c r="R230" s="165"/>
    </row>
    <row r="231" spans="1:18" ht="12.75">
      <c r="A231" s="367">
        <f t="shared" si="36"/>
        <v>215</v>
      </c>
      <c r="B231" s="368"/>
      <c r="C231" s="368"/>
      <c r="D231" s="379" t="s">
        <v>47</v>
      </c>
      <c r="E231" s="66" t="s">
        <v>201</v>
      </c>
      <c r="F231" s="375"/>
      <c r="G231" s="50">
        <f t="shared" si="35"/>
        <v>12446.810000000001</v>
      </c>
      <c r="H231" s="375">
        <v>0</v>
      </c>
      <c r="I231" s="375">
        <v>0</v>
      </c>
      <c r="J231" s="447">
        <v>8538.19</v>
      </c>
      <c r="K231" s="375">
        <f>1880.07-106.73+3.63+1000-450+1837+1114.01+4264.64-1772-2700-1162</f>
        <v>3908.620000000001</v>
      </c>
      <c r="L231" s="218"/>
      <c r="M231" s="218"/>
      <c r="N231" s="206"/>
      <c r="O231" s="205"/>
      <c r="P231" s="165"/>
      <c r="Q231" s="165"/>
      <c r="R231" s="165"/>
    </row>
    <row r="232" spans="1:18" ht="12.75">
      <c r="A232" s="367">
        <f t="shared" si="36"/>
        <v>216</v>
      </c>
      <c r="B232" s="368"/>
      <c r="C232" s="368"/>
      <c r="D232" s="379" t="s">
        <v>80</v>
      </c>
      <c r="E232" s="66" t="s">
        <v>202</v>
      </c>
      <c r="F232" s="375"/>
      <c r="G232" s="50">
        <f t="shared" si="35"/>
        <v>3987.79</v>
      </c>
      <c r="H232" s="375">
        <v>0</v>
      </c>
      <c r="I232" s="375">
        <v>0</v>
      </c>
      <c r="J232" s="447">
        <f>1414.88+245</f>
        <v>1659.88</v>
      </c>
      <c r="K232" s="375">
        <f>30+76.73+44+1000-722.82+800+1100</f>
        <v>2327.91</v>
      </c>
      <c r="L232" s="218"/>
      <c r="M232" s="218"/>
      <c r="N232" s="206"/>
      <c r="O232" s="205"/>
      <c r="P232" s="165"/>
      <c r="Q232" s="165"/>
      <c r="R232" s="165"/>
    </row>
    <row r="233" spans="1:18" ht="12.75">
      <c r="A233" s="367">
        <f t="shared" si="36"/>
        <v>217</v>
      </c>
      <c r="B233" s="368"/>
      <c r="C233" s="368"/>
      <c r="D233" s="379" t="s">
        <v>84</v>
      </c>
      <c r="E233" s="66" t="s">
        <v>203</v>
      </c>
      <c r="F233" s="375"/>
      <c r="G233" s="50">
        <f t="shared" si="35"/>
        <v>2599.27</v>
      </c>
      <c r="H233" s="375">
        <v>0</v>
      </c>
      <c r="I233" s="375">
        <v>0</v>
      </c>
      <c r="J233" s="447">
        <v>999.27</v>
      </c>
      <c r="K233" s="375">
        <v>1600</v>
      </c>
      <c r="L233" s="218"/>
      <c r="M233" s="218"/>
      <c r="N233" s="206"/>
      <c r="O233" s="205"/>
      <c r="P233" s="165"/>
      <c r="Q233" s="165"/>
      <c r="R233" s="165"/>
    </row>
    <row r="234" spans="1:18" ht="12.75">
      <c r="A234" s="367">
        <f t="shared" si="36"/>
        <v>218</v>
      </c>
      <c r="B234" s="368"/>
      <c r="C234" s="368"/>
      <c r="D234" s="379" t="s">
        <v>108</v>
      </c>
      <c r="E234" s="66" t="s">
        <v>204</v>
      </c>
      <c r="F234" s="375"/>
      <c r="G234" s="50">
        <f t="shared" si="35"/>
        <v>359.64</v>
      </c>
      <c r="H234" s="375">
        <v>0</v>
      </c>
      <c r="I234" s="375">
        <v>0</v>
      </c>
      <c r="J234" s="447">
        <f>166.64+3</f>
        <v>169.64</v>
      </c>
      <c r="K234" s="375">
        <v>190</v>
      </c>
      <c r="L234" s="218"/>
      <c r="M234" s="218"/>
      <c r="N234" s="206"/>
      <c r="O234" s="205"/>
      <c r="P234" s="165"/>
      <c r="Q234" s="165"/>
      <c r="R234" s="165"/>
    </row>
    <row r="235" spans="1:18" ht="12.75">
      <c r="A235" s="367">
        <f t="shared" si="36"/>
        <v>219</v>
      </c>
      <c r="B235" s="368"/>
      <c r="C235" s="377" t="s">
        <v>41</v>
      </c>
      <c r="D235" s="369"/>
      <c r="E235" s="85" t="s">
        <v>205</v>
      </c>
      <c r="F235" s="49">
        <f>+F236+F237+F238</f>
        <v>0</v>
      </c>
      <c r="G235" s="50">
        <f t="shared" si="35"/>
        <v>478.78999999999996</v>
      </c>
      <c r="H235" s="124">
        <f>+H236+H237+H238</f>
        <v>0</v>
      </c>
      <c r="I235" s="124">
        <f>+I236+I237+I238</f>
        <v>0</v>
      </c>
      <c r="J235" s="209">
        <f>+J236+J237+J238</f>
        <v>671.79</v>
      </c>
      <c r="K235" s="49">
        <f>+K236+K237+K238</f>
        <v>-193</v>
      </c>
      <c r="L235" s="218"/>
      <c r="M235" s="216"/>
      <c r="N235" s="206"/>
      <c r="O235" s="205"/>
      <c r="P235" s="165"/>
      <c r="Q235" s="165"/>
      <c r="R235" s="165"/>
    </row>
    <row r="236" spans="1:18" ht="12.75">
      <c r="A236" s="367">
        <f t="shared" si="36"/>
        <v>220</v>
      </c>
      <c r="B236" s="368"/>
      <c r="C236" s="368"/>
      <c r="D236" s="379" t="s">
        <v>47</v>
      </c>
      <c r="E236" s="66" t="s">
        <v>206</v>
      </c>
      <c r="F236" s="375"/>
      <c r="G236" s="50">
        <f t="shared" si="35"/>
        <v>67.57</v>
      </c>
      <c r="H236" s="375">
        <v>0</v>
      </c>
      <c r="I236" s="375">
        <v>0</v>
      </c>
      <c r="J236" s="447">
        <v>32.57</v>
      </c>
      <c r="K236" s="375">
        <v>35</v>
      </c>
      <c r="L236" s="218"/>
      <c r="M236" s="218"/>
      <c r="N236" s="206"/>
      <c r="O236" s="205"/>
      <c r="P236" s="165"/>
      <c r="Q236" s="165"/>
      <c r="R236" s="165"/>
    </row>
    <row r="237" spans="1:18" ht="12.75">
      <c r="A237" s="367">
        <f t="shared" si="36"/>
        <v>221</v>
      </c>
      <c r="B237" s="368"/>
      <c r="C237" s="368"/>
      <c r="D237" s="379" t="s">
        <v>84</v>
      </c>
      <c r="E237" s="66" t="s">
        <v>207</v>
      </c>
      <c r="F237" s="375"/>
      <c r="G237" s="50">
        <f t="shared" si="35"/>
        <v>100.34</v>
      </c>
      <c r="H237" s="375">
        <v>0</v>
      </c>
      <c r="I237" s="375">
        <v>0</v>
      </c>
      <c r="J237" s="447">
        <f>6.34+22</f>
        <v>28.34</v>
      </c>
      <c r="K237" s="375">
        <v>72</v>
      </c>
      <c r="L237" s="218"/>
      <c r="M237" s="218"/>
      <c r="N237" s="206"/>
      <c r="O237" s="205"/>
      <c r="P237" s="165"/>
      <c r="Q237" s="165"/>
      <c r="R237" s="165"/>
    </row>
    <row r="238" spans="1:18" ht="12.75">
      <c r="A238" s="367">
        <f t="shared" si="36"/>
        <v>222</v>
      </c>
      <c r="B238" s="368"/>
      <c r="C238" s="368"/>
      <c r="D238" s="369">
        <v>30</v>
      </c>
      <c r="E238" s="66" t="s">
        <v>208</v>
      </c>
      <c r="F238" s="375"/>
      <c r="G238" s="50">
        <f t="shared" si="35"/>
        <v>310.88</v>
      </c>
      <c r="H238" s="375">
        <v>0</v>
      </c>
      <c r="I238" s="375">
        <v>0</v>
      </c>
      <c r="J238" s="447">
        <f>610.88</f>
        <v>610.88</v>
      </c>
      <c r="K238" s="375">
        <f>630-930</f>
        <v>-300</v>
      </c>
      <c r="L238" s="218"/>
      <c r="M238" s="218"/>
      <c r="N238" s="206"/>
      <c r="O238" s="205"/>
      <c r="P238" s="165"/>
      <c r="Q238" s="165"/>
      <c r="R238" s="165"/>
    </row>
    <row r="239" spans="1:18" ht="12.75">
      <c r="A239" s="367">
        <f t="shared" si="36"/>
        <v>223</v>
      </c>
      <c r="B239" s="368"/>
      <c r="C239" s="377" t="s">
        <v>154</v>
      </c>
      <c r="D239" s="369"/>
      <c r="E239" s="59" t="s">
        <v>209</v>
      </c>
      <c r="F239" s="49">
        <f>+F240+F241</f>
        <v>0</v>
      </c>
      <c r="G239" s="50">
        <f t="shared" si="35"/>
        <v>28.42</v>
      </c>
      <c r="H239" s="124">
        <f>+H240+H241</f>
        <v>0</v>
      </c>
      <c r="I239" s="124">
        <f>+I240+I241</f>
        <v>0</v>
      </c>
      <c r="J239" s="209">
        <f>+J240+J241</f>
        <v>15.21</v>
      </c>
      <c r="K239" s="49">
        <f>+K240+K241</f>
        <v>13.21</v>
      </c>
      <c r="L239" s="218"/>
      <c r="M239" s="216"/>
      <c r="N239" s="206"/>
      <c r="O239" s="205"/>
      <c r="P239" s="165"/>
      <c r="Q239" s="165"/>
      <c r="R239" s="165"/>
    </row>
    <row r="240" spans="1:18" ht="12.75">
      <c r="A240" s="367">
        <f t="shared" si="36"/>
        <v>224</v>
      </c>
      <c r="B240" s="368"/>
      <c r="C240" s="368"/>
      <c r="D240" s="379" t="s">
        <v>47</v>
      </c>
      <c r="E240" s="78" t="s">
        <v>272</v>
      </c>
      <c r="F240" s="375"/>
      <c r="G240" s="50">
        <f t="shared" si="35"/>
        <v>22</v>
      </c>
      <c r="H240" s="375">
        <v>0</v>
      </c>
      <c r="I240" s="375">
        <v>0</v>
      </c>
      <c r="J240" s="447">
        <v>12</v>
      </c>
      <c r="K240" s="375">
        <v>10</v>
      </c>
      <c r="L240" s="218"/>
      <c r="M240" s="218"/>
      <c r="N240" s="206"/>
      <c r="O240" s="205"/>
      <c r="P240" s="165"/>
      <c r="Q240" s="165"/>
      <c r="R240" s="165"/>
    </row>
    <row r="241" spans="1:18" ht="12.75">
      <c r="A241" s="367">
        <f t="shared" si="36"/>
        <v>225</v>
      </c>
      <c r="B241" s="368"/>
      <c r="C241" s="368"/>
      <c r="D241" s="379" t="s">
        <v>80</v>
      </c>
      <c r="E241" s="66" t="s">
        <v>211</v>
      </c>
      <c r="F241" s="375"/>
      <c r="G241" s="50">
        <f t="shared" si="35"/>
        <v>6.42</v>
      </c>
      <c r="H241" s="375">
        <v>0</v>
      </c>
      <c r="I241" s="375">
        <v>0</v>
      </c>
      <c r="J241" s="447">
        <v>3.21</v>
      </c>
      <c r="K241" s="375">
        <v>3.21</v>
      </c>
      <c r="L241" s="218"/>
      <c r="M241" s="218"/>
      <c r="N241" s="206"/>
      <c r="O241" s="205"/>
      <c r="P241" s="165"/>
      <c r="Q241" s="165"/>
      <c r="R241" s="165"/>
    </row>
    <row r="242" spans="1:18" ht="12.75">
      <c r="A242" s="367">
        <f t="shared" si="36"/>
        <v>226</v>
      </c>
      <c r="B242" s="368"/>
      <c r="C242" s="377" t="s">
        <v>160</v>
      </c>
      <c r="D242" s="369"/>
      <c r="E242" s="85" t="s">
        <v>212</v>
      </c>
      <c r="F242" s="375"/>
      <c r="G242" s="50">
        <f t="shared" si="35"/>
        <v>233.34</v>
      </c>
      <c r="H242" s="375">
        <v>0</v>
      </c>
      <c r="I242" s="375">
        <v>0</v>
      </c>
      <c r="J242" s="447">
        <v>111.67</v>
      </c>
      <c r="K242" s="375">
        <f>86.33-14.66+50</f>
        <v>121.67</v>
      </c>
      <c r="L242" s="218"/>
      <c r="M242" s="218"/>
      <c r="N242" s="206"/>
      <c r="O242" s="205"/>
      <c r="P242" s="165"/>
      <c r="Q242" s="165"/>
      <c r="R242" s="165"/>
    </row>
    <row r="243" spans="1:18" ht="12.75">
      <c r="A243" s="367">
        <f t="shared" si="36"/>
        <v>227</v>
      </c>
      <c r="B243" s="368"/>
      <c r="C243" s="368">
        <v>10</v>
      </c>
      <c r="D243" s="369"/>
      <c r="E243" s="85" t="s">
        <v>213</v>
      </c>
      <c r="F243" s="375"/>
      <c r="G243" s="50">
        <f t="shared" si="35"/>
        <v>0</v>
      </c>
      <c r="H243" s="375">
        <v>0</v>
      </c>
      <c r="I243" s="375">
        <v>0</v>
      </c>
      <c r="J243" s="447">
        <v>0</v>
      </c>
      <c r="K243" s="375">
        <v>0</v>
      </c>
      <c r="L243" s="218"/>
      <c r="M243" s="218"/>
      <c r="N243" s="206"/>
      <c r="O243" s="205"/>
      <c r="P243" s="165"/>
      <c r="Q243" s="165"/>
      <c r="R243" s="165"/>
    </row>
    <row r="244" spans="1:18" ht="12.75">
      <c r="A244" s="367">
        <f t="shared" si="36"/>
        <v>228</v>
      </c>
      <c r="B244" s="368"/>
      <c r="C244" s="368">
        <v>11</v>
      </c>
      <c r="D244" s="369"/>
      <c r="E244" s="85" t="s">
        <v>273</v>
      </c>
      <c r="F244" s="375"/>
      <c r="G244" s="50">
        <f t="shared" si="35"/>
        <v>1.11</v>
      </c>
      <c r="H244" s="375">
        <v>0</v>
      </c>
      <c r="I244" s="375">
        <v>0</v>
      </c>
      <c r="J244" s="447">
        <v>1.11</v>
      </c>
      <c r="K244" s="375">
        <v>0</v>
      </c>
      <c r="L244" s="218"/>
      <c r="M244" s="218"/>
      <c r="N244" s="206"/>
      <c r="O244" s="205"/>
      <c r="P244" s="165"/>
      <c r="Q244" s="165"/>
      <c r="R244" s="165"/>
    </row>
    <row r="245" spans="1:18" ht="12.75">
      <c r="A245" s="367">
        <f t="shared" si="36"/>
        <v>229</v>
      </c>
      <c r="B245" s="368"/>
      <c r="C245" s="368">
        <v>12</v>
      </c>
      <c r="D245" s="369"/>
      <c r="E245" s="85" t="s">
        <v>274</v>
      </c>
      <c r="F245" s="375"/>
      <c r="G245" s="50">
        <f t="shared" si="35"/>
        <v>0</v>
      </c>
      <c r="H245" s="375">
        <v>0</v>
      </c>
      <c r="I245" s="375">
        <v>0</v>
      </c>
      <c r="J245" s="447">
        <v>0</v>
      </c>
      <c r="K245" s="375">
        <v>0</v>
      </c>
      <c r="L245" s="218"/>
      <c r="M245" s="218"/>
      <c r="N245" s="206"/>
      <c r="O245" s="205"/>
      <c r="P245" s="165"/>
      <c r="Q245" s="165"/>
      <c r="R245" s="165"/>
    </row>
    <row r="246" spans="1:18" ht="12.75">
      <c r="A246" s="367">
        <f t="shared" si="36"/>
        <v>230</v>
      </c>
      <c r="B246" s="368"/>
      <c r="C246" s="368">
        <v>13</v>
      </c>
      <c r="D246" s="369"/>
      <c r="E246" s="85" t="s">
        <v>216</v>
      </c>
      <c r="F246" s="375"/>
      <c r="G246" s="50">
        <f t="shared" si="35"/>
        <v>13</v>
      </c>
      <c r="H246" s="375">
        <v>0</v>
      </c>
      <c r="I246" s="375">
        <v>0</v>
      </c>
      <c r="J246" s="447">
        <v>5</v>
      </c>
      <c r="K246" s="375">
        <v>8</v>
      </c>
      <c r="L246" s="218"/>
      <c r="M246" s="218"/>
      <c r="N246" s="206"/>
      <c r="O246" s="205"/>
      <c r="P246" s="165"/>
      <c r="Q246" s="165"/>
      <c r="R246" s="165"/>
    </row>
    <row r="247" spans="1:18" ht="12.75">
      <c r="A247" s="367">
        <f t="shared" si="36"/>
        <v>231</v>
      </c>
      <c r="B247" s="368"/>
      <c r="C247" s="368">
        <v>14</v>
      </c>
      <c r="D247" s="369"/>
      <c r="E247" s="85" t="s">
        <v>217</v>
      </c>
      <c r="F247" s="375"/>
      <c r="G247" s="50">
        <f t="shared" si="35"/>
        <v>0</v>
      </c>
      <c r="H247" s="375">
        <v>0</v>
      </c>
      <c r="I247" s="375">
        <v>0</v>
      </c>
      <c r="J247" s="447">
        <v>0</v>
      </c>
      <c r="K247" s="375">
        <v>0</v>
      </c>
      <c r="L247" s="218"/>
      <c r="M247" s="218"/>
      <c r="N247" s="206"/>
      <c r="O247" s="205"/>
      <c r="P247" s="165"/>
      <c r="Q247" s="165"/>
      <c r="R247" s="165"/>
    </row>
    <row r="248" spans="1:18" ht="12.75">
      <c r="A248" s="367">
        <f t="shared" si="36"/>
        <v>232</v>
      </c>
      <c r="B248" s="368"/>
      <c r="C248" s="368">
        <v>25</v>
      </c>
      <c r="D248" s="369"/>
      <c r="E248" s="85" t="s">
        <v>218</v>
      </c>
      <c r="F248" s="375"/>
      <c r="G248" s="50">
        <f t="shared" si="35"/>
        <v>0</v>
      </c>
      <c r="H248" s="375">
        <v>0</v>
      </c>
      <c r="I248" s="375">
        <v>0</v>
      </c>
      <c r="J248" s="447">
        <v>0</v>
      </c>
      <c r="K248" s="375">
        <v>0</v>
      </c>
      <c r="L248" s="218"/>
      <c r="M248" s="218"/>
      <c r="N248" s="206"/>
      <c r="O248" s="205"/>
      <c r="P248" s="165"/>
      <c r="Q248" s="165"/>
      <c r="R248" s="165"/>
    </row>
    <row r="249" spans="1:18" ht="12.75">
      <c r="A249" s="367">
        <f t="shared" si="36"/>
        <v>233</v>
      </c>
      <c r="B249" s="368"/>
      <c r="C249" s="368">
        <v>27</v>
      </c>
      <c r="D249" s="369"/>
      <c r="E249" s="85" t="s">
        <v>219</v>
      </c>
      <c r="F249" s="375"/>
      <c r="G249" s="50">
        <f t="shared" si="35"/>
        <v>0</v>
      </c>
      <c r="H249" s="375">
        <v>0</v>
      </c>
      <c r="I249" s="375">
        <v>0</v>
      </c>
      <c r="J249" s="447">
        <v>0</v>
      </c>
      <c r="K249" s="375">
        <v>0</v>
      </c>
      <c r="L249" s="218"/>
      <c r="M249" s="218"/>
      <c r="N249" s="206"/>
      <c r="O249" s="205"/>
      <c r="P249" s="165"/>
      <c r="Q249" s="165"/>
      <c r="R249" s="165"/>
    </row>
    <row r="250" spans="1:18" ht="12.75">
      <c r="A250" s="367">
        <f t="shared" si="36"/>
        <v>234</v>
      </c>
      <c r="B250" s="368"/>
      <c r="C250" s="368">
        <v>30</v>
      </c>
      <c r="D250" s="369"/>
      <c r="E250" s="85" t="s">
        <v>120</v>
      </c>
      <c r="F250" s="49">
        <f>+F251+F252+F253+F254+F255</f>
        <v>0</v>
      </c>
      <c r="G250" s="50">
        <f t="shared" si="35"/>
        <v>660.66</v>
      </c>
      <c r="H250" s="124">
        <f>+H251+H252+H253+H254+H255</f>
        <v>0</v>
      </c>
      <c r="I250" s="124">
        <f>+I251+I252+I253+I254+I255</f>
        <v>0</v>
      </c>
      <c r="J250" s="209">
        <f>+J251+J252+J253+J254+J255</f>
        <v>39.66</v>
      </c>
      <c r="K250" s="49">
        <f>+K251+K252+K253+K254+K255</f>
        <v>621</v>
      </c>
      <c r="L250" s="218"/>
      <c r="M250" s="218"/>
      <c r="N250" s="206"/>
      <c r="O250" s="205"/>
      <c r="P250" s="165"/>
      <c r="Q250" s="165"/>
      <c r="R250" s="165"/>
    </row>
    <row r="251" spans="1:18" ht="12.75">
      <c r="A251" s="367">
        <f t="shared" si="36"/>
        <v>235</v>
      </c>
      <c r="B251" s="368"/>
      <c r="C251" s="368"/>
      <c r="D251" s="379" t="s">
        <v>47</v>
      </c>
      <c r="E251" s="66" t="s">
        <v>220</v>
      </c>
      <c r="F251" s="375"/>
      <c r="G251" s="50">
        <f t="shared" si="35"/>
        <v>0</v>
      </c>
      <c r="H251" s="375">
        <v>0</v>
      </c>
      <c r="I251" s="375">
        <v>0</v>
      </c>
      <c r="J251" s="447">
        <v>0</v>
      </c>
      <c r="K251" s="375">
        <v>0</v>
      </c>
      <c r="L251" s="218"/>
      <c r="M251" s="218"/>
      <c r="N251" s="206"/>
      <c r="O251" s="205"/>
      <c r="P251" s="165"/>
      <c r="Q251" s="165"/>
      <c r="R251" s="165"/>
    </row>
    <row r="252" spans="1:18" ht="12.75">
      <c r="A252" s="367">
        <f t="shared" si="36"/>
        <v>236</v>
      </c>
      <c r="B252" s="368"/>
      <c r="C252" s="368"/>
      <c r="D252" s="379" t="s">
        <v>84</v>
      </c>
      <c r="E252" s="66" t="s">
        <v>221</v>
      </c>
      <c r="F252" s="375"/>
      <c r="G252" s="50">
        <f t="shared" si="35"/>
        <v>0</v>
      </c>
      <c r="H252" s="375">
        <v>0</v>
      </c>
      <c r="I252" s="375">
        <v>0</v>
      </c>
      <c r="J252" s="447">
        <v>0</v>
      </c>
      <c r="K252" s="375">
        <v>0</v>
      </c>
      <c r="L252" s="218"/>
      <c r="M252" s="218"/>
      <c r="N252" s="206"/>
      <c r="O252" s="205"/>
      <c r="P252" s="165"/>
      <c r="Q252" s="165"/>
      <c r="R252" s="165"/>
    </row>
    <row r="253" spans="1:18" ht="12.75">
      <c r="A253" s="367">
        <f t="shared" si="36"/>
        <v>237</v>
      </c>
      <c r="B253" s="368"/>
      <c r="C253" s="368"/>
      <c r="D253" s="379" t="s">
        <v>108</v>
      </c>
      <c r="E253" s="66" t="s">
        <v>222</v>
      </c>
      <c r="F253" s="375"/>
      <c r="G253" s="50">
        <f t="shared" si="35"/>
        <v>658</v>
      </c>
      <c r="H253" s="375">
        <v>0</v>
      </c>
      <c r="I253" s="375">
        <v>0</v>
      </c>
      <c r="J253" s="447">
        <v>38</v>
      </c>
      <c r="K253" s="375">
        <v>620</v>
      </c>
      <c r="L253" s="218"/>
      <c r="M253" s="218"/>
      <c r="N253" s="206"/>
      <c r="O253" s="205"/>
      <c r="P253" s="165"/>
      <c r="Q253" s="165"/>
      <c r="R253" s="165"/>
    </row>
    <row r="254" spans="1:18" ht="12.75">
      <c r="A254" s="367">
        <f t="shared" si="36"/>
        <v>238</v>
      </c>
      <c r="B254" s="368"/>
      <c r="C254" s="368"/>
      <c r="D254" s="379" t="s">
        <v>160</v>
      </c>
      <c r="E254" s="66" t="s">
        <v>223</v>
      </c>
      <c r="F254" s="375"/>
      <c r="G254" s="50">
        <f aca="true" t="shared" si="37" ref="G254:G275">H254+I254+J254+K254</f>
        <v>0</v>
      </c>
      <c r="H254" s="375">
        <v>0</v>
      </c>
      <c r="I254" s="375">
        <v>0</v>
      </c>
      <c r="J254" s="447">
        <v>0</v>
      </c>
      <c r="K254" s="375">
        <v>0</v>
      </c>
      <c r="L254" s="218"/>
      <c r="M254" s="218"/>
      <c r="N254" s="206"/>
      <c r="O254" s="205"/>
      <c r="P254" s="165"/>
      <c r="Q254" s="165"/>
      <c r="R254" s="165"/>
    </row>
    <row r="255" spans="1:18" ht="12.75">
      <c r="A255" s="367">
        <f t="shared" si="36"/>
        <v>239</v>
      </c>
      <c r="B255" s="368"/>
      <c r="C255" s="368"/>
      <c r="D255" s="369">
        <v>30</v>
      </c>
      <c r="E255" s="66" t="s">
        <v>224</v>
      </c>
      <c r="F255" s="375"/>
      <c r="G255" s="50">
        <f t="shared" si="37"/>
        <v>2.66</v>
      </c>
      <c r="H255" s="375">
        <v>0</v>
      </c>
      <c r="I255" s="375">
        <v>0</v>
      </c>
      <c r="J255" s="447">
        <v>1.66</v>
      </c>
      <c r="K255" s="375">
        <v>1</v>
      </c>
      <c r="L255" s="218"/>
      <c r="M255" s="218"/>
      <c r="N255" s="206"/>
      <c r="O255" s="205"/>
      <c r="P255" s="165"/>
      <c r="Q255" s="165"/>
      <c r="R255" s="165"/>
    </row>
    <row r="256" spans="1:18" ht="12.75">
      <c r="A256" s="367">
        <f t="shared" si="36"/>
        <v>240</v>
      </c>
      <c r="B256" s="390">
        <v>30</v>
      </c>
      <c r="C256" s="390"/>
      <c r="D256" s="408"/>
      <c r="E256" s="409" t="s">
        <v>225</v>
      </c>
      <c r="F256" s="49">
        <f>+F257</f>
        <v>0</v>
      </c>
      <c r="G256" s="50">
        <f t="shared" si="37"/>
        <v>0</v>
      </c>
      <c r="H256" s="49">
        <v>0</v>
      </c>
      <c r="I256" s="49">
        <v>0</v>
      </c>
      <c r="J256" s="209">
        <v>0</v>
      </c>
      <c r="K256" s="49">
        <f>+K257</f>
        <v>0</v>
      </c>
      <c r="L256" s="218"/>
      <c r="M256" s="218"/>
      <c r="N256" s="206"/>
      <c r="O256" s="205"/>
      <c r="P256" s="165"/>
      <c r="Q256" s="165"/>
      <c r="R256" s="165"/>
    </row>
    <row r="257" spans="1:18" ht="12.75">
      <c r="A257" s="367">
        <f t="shared" si="36"/>
        <v>241</v>
      </c>
      <c r="B257" s="390"/>
      <c r="C257" s="410" t="s">
        <v>84</v>
      </c>
      <c r="D257" s="408"/>
      <c r="E257" s="409" t="s">
        <v>226</v>
      </c>
      <c r="F257" s="49">
        <f>+F258</f>
        <v>0</v>
      </c>
      <c r="G257" s="50">
        <f t="shared" si="37"/>
        <v>0</v>
      </c>
      <c r="H257" s="49">
        <v>0</v>
      </c>
      <c r="I257" s="49">
        <v>0</v>
      </c>
      <c r="J257" s="209">
        <v>0</v>
      </c>
      <c r="K257" s="49">
        <f>+K258</f>
        <v>0</v>
      </c>
      <c r="L257" s="218"/>
      <c r="M257" s="218"/>
      <c r="N257" s="206"/>
      <c r="O257" s="165"/>
      <c r="P257" s="165"/>
      <c r="Q257" s="165"/>
      <c r="R257" s="165"/>
    </row>
    <row r="258" spans="1:18" ht="12.75">
      <c r="A258" s="367">
        <f t="shared" si="36"/>
        <v>242</v>
      </c>
      <c r="B258" s="390"/>
      <c r="C258" s="410"/>
      <c r="D258" s="392" t="s">
        <v>41</v>
      </c>
      <c r="E258" s="411" t="s">
        <v>227</v>
      </c>
      <c r="F258" s="375"/>
      <c r="G258" s="50">
        <f t="shared" si="37"/>
        <v>0</v>
      </c>
      <c r="H258" s="375">
        <v>0</v>
      </c>
      <c r="I258" s="375">
        <v>0</v>
      </c>
      <c r="J258" s="447">
        <v>0</v>
      </c>
      <c r="K258" s="375"/>
      <c r="L258" s="218"/>
      <c r="M258" s="123"/>
      <c r="N258" s="206"/>
      <c r="O258" s="165"/>
      <c r="P258" s="165"/>
      <c r="Q258" s="165"/>
      <c r="R258" s="165"/>
    </row>
    <row r="259" spans="1:18" ht="25.5">
      <c r="A259" s="367">
        <f t="shared" si="36"/>
        <v>243</v>
      </c>
      <c r="B259" s="404" t="s">
        <v>228</v>
      </c>
      <c r="C259" s="401"/>
      <c r="D259" s="402"/>
      <c r="E259" s="413" t="s">
        <v>229</v>
      </c>
      <c r="F259" s="422">
        <v>30250</v>
      </c>
      <c r="G259" s="50">
        <f t="shared" si="37"/>
        <v>11066.53</v>
      </c>
      <c r="H259" s="375">
        <v>0</v>
      </c>
      <c r="I259" s="375">
        <v>0</v>
      </c>
      <c r="J259" s="447">
        <v>10516.53</v>
      </c>
      <c r="K259" s="375">
        <v>550</v>
      </c>
      <c r="L259" s="218"/>
      <c r="M259" s="123"/>
      <c r="N259" s="206"/>
      <c r="O259" s="165"/>
      <c r="P259" s="165"/>
      <c r="Q259" s="165"/>
      <c r="R259" s="165"/>
    </row>
    <row r="260" spans="1:18" ht="12.75">
      <c r="A260" s="367">
        <f t="shared" si="36"/>
        <v>244</v>
      </c>
      <c r="B260" s="390">
        <v>57</v>
      </c>
      <c r="C260" s="410"/>
      <c r="D260" s="392"/>
      <c r="E260" s="409" t="s">
        <v>230</v>
      </c>
      <c r="F260" s="109">
        <f>F261+F262</f>
        <v>0</v>
      </c>
      <c r="G260" s="50">
        <f t="shared" si="37"/>
        <v>0</v>
      </c>
      <c r="H260" s="109">
        <v>0</v>
      </c>
      <c r="I260" s="109">
        <v>0</v>
      </c>
      <c r="J260" s="211">
        <v>0</v>
      </c>
      <c r="K260" s="109">
        <f>K261+K262</f>
        <v>0</v>
      </c>
      <c r="L260" s="218"/>
      <c r="M260" s="218"/>
      <c r="N260" s="206"/>
      <c r="O260" s="165"/>
      <c r="P260" s="165"/>
      <c r="Q260" s="165"/>
      <c r="R260" s="165"/>
    </row>
    <row r="261" spans="1:18" ht="12.75">
      <c r="A261" s="367">
        <f t="shared" si="36"/>
        <v>245</v>
      </c>
      <c r="B261" s="390"/>
      <c r="C261" s="410" t="s">
        <v>47</v>
      </c>
      <c r="D261" s="392"/>
      <c r="E261" s="409" t="s">
        <v>231</v>
      </c>
      <c r="F261" s="109"/>
      <c r="G261" s="50">
        <f t="shared" si="37"/>
        <v>0</v>
      </c>
      <c r="H261" s="109">
        <v>0</v>
      </c>
      <c r="I261" s="109">
        <v>0</v>
      </c>
      <c r="J261" s="211">
        <v>0</v>
      </c>
      <c r="K261" s="109"/>
      <c r="L261" s="218"/>
      <c r="M261" s="218"/>
      <c r="N261" s="206"/>
      <c r="O261" s="165"/>
      <c r="P261" s="165"/>
      <c r="Q261" s="165"/>
      <c r="R261" s="165"/>
    </row>
    <row r="262" spans="1:18" ht="12.75">
      <c r="A262" s="367">
        <f t="shared" si="36"/>
        <v>246</v>
      </c>
      <c r="B262" s="390"/>
      <c r="C262" s="410" t="s">
        <v>80</v>
      </c>
      <c r="D262" s="392"/>
      <c r="E262" s="411" t="s">
        <v>232</v>
      </c>
      <c r="F262" s="109">
        <f>F263+F264+F266</f>
        <v>0</v>
      </c>
      <c r="G262" s="50">
        <f t="shared" si="37"/>
        <v>0</v>
      </c>
      <c r="H262" s="109">
        <v>0</v>
      </c>
      <c r="I262" s="109">
        <v>0</v>
      </c>
      <c r="J262" s="211">
        <v>0</v>
      </c>
      <c r="K262" s="109">
        <f>K263+K264+K266</f>
        <v>0</v>
      </c>
      <c r="L262" s="218"/>
      <c r="M262" s="218"/>
      <c r="N262" s="206"/>
      <c r="O262" s="165"/>
      <c r="P262" s="165"/>
      <c r="Q262" s="165"/>
      <c r="R262" s="165"/>
    </row>
    <row r="263" spans="1:18" ht="12.75">
      <c r="A263" s="367">
        <f t="shared" si="36"/>
        <v>247</v>
      </c>
      <c r="B263" s="390"/>
      <c r="C263" s="410"/>
      <c r="D263" s="392" t="s">
        <v>47</v>
      </c>
      <c r="E263" s="411" t="s">
        <v>233</v>
      </c>
      <c r="F263" s="375"/>
      <c r="G263" s="50">
        <f t="shared" si="37"/>
        <v>0</v>
      </c>
      <c r="H263" s="375"/>
      <c r="I263" s="375"/>
      <c r="J263" s="447"/>
      <c r="K263" s="375"/>
      <c r="L263" s="218"/>
      <c r="M263" s="218"/>
      <c r="N263" s="206"/>
      <c r="O263" s="165"/>
      <c r="P263" s="165"/>
      <c r="Q263" s="165"/>
      <c r="R263" s="165"/>
    </row>
    <row r="264" spans="1:18" ht="12.75">
      <c r="A264" s="367">
        <f t="shared" si="36"/>
        <v>248</v>
      </c>
      <c r="B264" s="390"/>
      <c r="C264" s="410"/>
      <c r="D264" s="392" t="s">
        <v>80</v>
      </c>
      <c r="E264" s="411" t="s">
        <v>234</v>
      </c>
      <c r="F264" s="375"/>
      <c r="G264" s="50">
        <f t="shared" si="37"/>
        <v>0</v>
      </c>
      <c r="H264" s="375"/>
      <c r="I264" s="375"/>
      <c r="J264" s="447"/>
      <c r="K264" s="375"/>
      <c r="L264" s="218"/>
      <c r="M264" s="218"/>
      <c r="N264" s="206"/>
      <c r="O264" s="165"/>
      <c r="P264" s="165"/>
      <c r="Q264" s="165"/>
      <c r="R264" s="165"/>
    </row>
    <row r="265" spans="1:18" ht="12.75">
      <c r="A265" s="367">
        <f t="shared" si="36"/>
        <v>249</v>
      </c>
      <c r="B265" s="390"/>
      <c r="C265" s="410"/>
      <c r="D265" s="392" t="s">
        <v>84</v>
      </c>
      <c r="E265" s="411" t="s">
        <v>235</v>
      </c>
      <c r="F265" s="375"/>
      <c r="G265" s="50">
        <f t="shared" si="37"/>
        <v>0</v>
      </c>
      <c r="H265" s="375"/>
      <c r="I265" s="375"/>
      <c r="J265" s="447"/>
      <c r="K265" s="375"/>
      <c r="L265" s="218"/>
      <c r="M265" s="218"/>
      <c r="N265" s="206"/>
      <c r="O265" s="165"/>
      <c r="P265" s="165"/>
      <c r="Q265" s="165"/>
      <c r="R265" s="165"/>
    </row>
    <row r="266" spans="1:18" ht="12.75">
      <c r="A266" s="367">
        <f t="shared" si="36"/>
        <v>250</v>
      </c>
      <c r="B266" s="390"/>
      <c r="C266" s="410"/>
      <c r="D266" s="392" t="s">
        <v>108</v>
      </c>
      <c r="E266" s="411" t="s">
        <v>236</v>
      </c>
      <c r="F266" s="375"/>
      <c r="G266" s="50">
        <f t="shared" si="37"/>
        <v>0</v>
      </c>
      <c r="H266" s="375"/>
      <c r="I266" s="375"/>
      <c r="J266" s="447"/>
      <c r="K266" s="375"/>
      <c r="L266" s="218"/>
      <c r="M266" s="218"/>
      <c r="N266" s="206"/>
      <c r="O266" s="165"/>
      <c r="P266" s="165"/>
      <c r="Q266" s="165"/>
      <c r="R266" s="165"/>
    </row>
    <row r="267" spans="1:18" ht="12.75">
      <c r="A267" s="367">
        <f t="shared" si="36"/>
        <v>251</v>
      </c>
      <c r="B267" s="368">
        <v>70</v>
      </c>
      <c r="C267" s="368"/>
      <c r="D267" s="369"/>
      <c r="E267" s="85" t="s">
        <v>237</v>
      </c>
      <c r="F267" s="49">
        <f>+F268</f>
        <v>0</v>
      </c>
      <c r="G267" s="50">
        <f t="shared" si="37"/>
        <v>103.52000000000001</v>
      </c>
      <c r="H267" s="49">
        <f>+H268</f>
        <v>0</v>
      </c>
      <c r="I267" s="49">
        <f>+I268</f>
        <v>0</v>
      </c>
      <c r="J267" s="209">
        <f>+J268</f>
        <v>53.52</v>
      </c>
      <c r="K267" s="49">
        <f>+K268</f>
        <v>50</v>
      </c>
      <c r="L267" s="218"/>
      <c r="M267" s="218"/>
      <c r="N267" s="206"/>
      <c r="O267" s="165"/>
      <c r="P267" s="165"/>
      <c r="Q267" s="165"/>
      <c r="R267" s="165"/>
    </row>
    <row r="268" spans="1:18" ht="12.75">
      <c r="A268" s="367">
        <f t="shared" si="36"/>
        <v>252</v>
      </c>
      <c r="B268" s="368">
        <v>71</v>
      </c>
      <c r="C268" s="368"/>
      <c r="D268" s="369"/>
      <c r="E268" s="85" t="s">
        <v>238</v>
      </c>
      <c r="F268" s="49">
        <f>+F269+F274</f>
        <v>0</v>
      </c>
      <c r="G268" s="50">
        <f t="shared" si="37"/>
        <v>103.52000000000001</v>
      </c>
      <c r="H268" s="49">
        <f>+H269+H274</f>
        <v>0</v>
      </c>
      <c r="I268" s="49">
        <f>+I269+I274</f>
        <v>0</v>
      </c>
      <c r="J268" s="209">
        <f>+J269+J274</f>
        <v>53.52</v>
      </c>
      <c r="K268" s="49">
        <f>+K269+K274</f>
        <v>50</v>
      </c>
      <c r="L268" s="218"/>
      <c r="M268" s="218"/>
      <c r="N268" s="206"/>
      <c r="O268" s="165"/>
      <c r="P268" s="165"/>
      <c r="Q268" s="165"/>
      <c r="R268" s="165"/>
    </row>
    <row r="269" spans="1:18" ht="12.75">
      <c r="A269" s="367">
        <f t="shared" si="36"/>
        <v>253</v>
      </c>
      <c r="B269" s="368"/>
      <c r="C269" s="377" t="s">
        <v>47</v>
      </c>
      <c r="D269" s="369"/>
      <c r="E269" s="85" t="s">
        <v>77</v>
      </c>
      <c r="F269" s="49">
        <f>+F270+F271+F272+F273</f>
        <v>0</v>
      </c>
      <c r="G269" s="50">
        <f t="shared" si="37"/>
        <v>103.52000000000001</v>
      </c>
      <c r="H269" s="49">
        <f>+H270+H271+H272+H273</f>
        <v>0</v>
      </c>
      <c r="I269" s="49">
        <f>+I270+I271+I272+I273</f>
        <v>0</v>
      </c>
      <c r="J269" s="209">
        <f>+J270+J271+J272+J273</f>
        <v>53.52</v>
      </c>
      <c r="K269" s="49">
        <f>+K270+K271+K272+K273</f>
        <v>50</v>
      </c>
      <c r="L269" s="218"/>
      <c r="M269" s="218"/>
      <c r="N269" s="206"/>
      <c r="O269" s="165"/>
      <c r="P269" s="165"/>
      <c r="Q269" s="165"/>
      <c r="R269" s="165"/>
    </row>
    <row r="270" spans="1:18" ht="12.75">
      <c r="A270" s="367">
        <f t="shared" si="36"/>
        <v>254</v>
      </c>
      <c r="B270" s="368"/>
      <c r="C270" s="368"/>
      <c r="D270" s="379" t="s">
        <v>47</v>
      </c>
      <c r="E270" s="143" t="s">
        <v>239</v>
      </c>
      <c r="F270" s="375"/>
      <c r="G270" s="50">
        <f t="shared" si="37"/>
        <v>0</v>
      </c>
      <c r="H270" s="375"/>
      <c r="I270" s="375"/>
      <c r="J270" s="447"/>
      <c r="K270" s="375"/>
      <c r="L270" s="218"/>
      <c r="M270" s="218"/>
      <c r="N270" s="206"/>
      <c r="O270" s="165"/>
      <c r="P270" s="165"/>
      <c r="Q270" s="165"/>
      <c r="R270" s="165"/>
    </row>
    <row r="271" spans="1:18" ht="12.75">
      <c r="A271" s="367">
        <f t="shared" si="36"/>
        <v>255</v>
      </c>
      <c r="B271" s="368"/>
      <c r="C271" s="368"/>
      <c r="D271" s="379" t="s">
        <v>80</v>
      </c>
      <c r="E271" s="143" t="s">
        <v>81</v>
      </c>
      <c r="F271" s="375"/>
      <c r="G271" s="50">
        <f t="shared" si="37"/>
        <v>103.52000000000001</v>
      </c>
      <c r="H271" s="375"/>
      <c r="I271" s="375">
        <v>0</v>
      </c>
      <c r="J271" s="447">
        <v>53.52</v>
      </c>
      <c r="K271" s="375">
        <v>50</v>
      </c>
      <c r="L271" s="218"/>
      <c r="M271" s="218"/>
      <c r="N271" s="206"/>
      <c r="O271" s="165"/>
      <c r="P271" s="165"/>
      <c r="Q271" s="165"/>
      <c r="R271" s="165"/>
    </row>
    <row r="272" spans="1:18" ht="12.75">
      <c r="A272" s="367">
        <f t="shared" si="36"/>
        <v>256</v>
      </c>
      <c r="B272" s="368"/>
      <c r="C272" s="368"/>
      <c r="D272" s="379" t="s">
        <v>84</v>
      </c>
      <c r="E272" s="143" t="s">
        <v>245</v>
      </c>
      <c r="F272" s="375"/>
      <c r="G272" s="50">
        <f t="shared" si="37"/>
        <v>0</v>
      </c>
      <c r="H272" s="375"/>
      <c r="I272" s="375"/>
      <c r="J272" s="447"/>
      <c r="K272" s="375"/>
      <c r="L272" s="218"/>
      <c r="M272" s="218"/>
      <c r="N272" s="206"/>
      <c r="O272" s="165"/>
      <c r="P272" s="165"/>
      <c r="Q272" s="165"/>
      <c r="R272" s="165"/>
    </row>
    <row r="273" spans="1:18" ht="12.75">
      <c r="A273" s="367">
        <f t="shared" si="36"/>
        <v>257</v>
      </c>
      <c r="B273" s="368"/>
      <c r="C273" s="368"/>
      <c r="D273" s="369">
        <v>30</v>
      </c>
      <c r="E273" s="143" t="s">
        <v>275</v>
      </c>
      <c r="F273" s="375"/>
      <c r="G273" s="50">
        <f t="shared" si="37"/>
        <v>0</v>
      </c>
      <c r="H273" s="375"/>
      <c r="I273" s="375"/>
      <c r="J273" s="447"/>
      <c r="K273" s="375"/>
      <c r="L273" s="218"/>
      <c r="M273" s="218"/>
      <c r="N273" s="206"/>
      <c r="O273" s="165"/>
      <c r="P273" s="165"/>
      <c r="Q273" s="165"/>
      <c r="R273" s="165"/>
    </row>
    <row r="274" spans="1:18" ht="12.75">
      <c r="A274" s="367">
        <f t="shared" si="36"/>
        <v>258</v>
      </c>
      <c r="B274" s="368"/>
      <c r="C274" s="377" t="s">
        <v>84</v>
      </c>
      <c r="D274" s="369"/>
      <c r="E274" s="143" t="s">
        <v>243</v>
      </c>
      <c r="F274" s="375"/>
      <c r="G274" s="50">
        <f t="shared" si="37"/>
        <v>0</v>
      </c>
      <c r="H274" s="375"/>
      <c r="I274" s="375"/>
      <c r="J274" s="447"/>
      <c r="K274" s="375"/>
      <c r="L274" s="218"/>
      <c r="M274" s="218"/>
      <c r="N274" s="206"/>
      <c r="O274" s="165"/>
      <c r="P274" s="165"/>
      <c r="Q274" s="165"/>
      <c r="R274" s="165"/>
    </row>
    <row r="275" spans="1:14" ht="12.75">
      <c r="A275" s="367">
        <f t="shared" si="36"/>
        <v>259</v>
      </c>
      <c r="B275" s="368"/>
      <c r="C275" s="368"/>
      <c r="D275" s="369"/>
      <c r="E275" s="85" t="s">
        <v>244</v>
      </c>
      <c r="F275" s="49">
        <f>F276+F277+F278</f>
        <v>0</v>
      </c>
      <c r="G275" s="50">
        <f t="shared" si="37"/>
        <v>103.52000000000001</v>
      </c>
      <c r="H275" s="49">
        <f>H276+H277+H278</f>
        <v>0</v>
      </c>
      <c r="I275" s="49">
        <f>I276+I277+I278</f>
        <v>0</v>
      </c>
      <c r="J275" s="209">
        <f>J276+J277+J278</f>
        <v>53.52</v>
      </c>
      <c r="K275" s="49">
        <f>K276+K277+K278</f>
        <v>50</v>
      </c>
      <c r="L275" s="218"/>
      <c r="M275" s="218"/>
      <c r="N275" s="206"/>
    </row>
    <row r="276" spans="1:14" ht="12.75">
      <c r="A276" s="367">
        <f t="shared" si="36"/>
        <v>260</v>
      </c>
      <c r="B276" s="368">
        <v>71</v>
      </c>
      <c r="C276" s="377" t="s">
        <v>47</v>
      </c>
      <c r="D276" s="379" t="s">
        <v>80</v>
      </c>
      <c r="E276" s="66" t="s">
        <v>81</v>
      </c>
      <c r="F276" s="375"/>
      <c r="G276" s="79">
        <f>H276+I276+J276+K276</f>
        <v>103.52000000000001</v>
      </c>
      <c r="H276" s="375"/>
      <c r="I276" s="375">
        <v>0</v>
      </c>
      <c r="J276" s="447">
        <v>53.52</v>
      </c>
      <c r="K276" s="375">
        <v>50</v>
      </c>
      <c r="L276" s="218"/>
      <c r="M276" s="218"/>
      <c r="N276" s="206"/>
    </row>
    <row r="277" spans="1:14" ht="12.75">
      <c r="A277" s="367">
        <f t="shared" si="36"/>
        <v>261</v>
      </c>
      <c r="B277" s="368"/>
      <c r="C277" s="368"/>
      <c r="D277" s="379" t="s">
        <v>84</v>
      </c>
      <c r="E277" s="66" t="s">
        <v>245</v>
      </c>
      <c r="F277" s="375"/>
      <c r="G277" s="79">
        <f>H277+I277+J277+K277</f>
        <v>0</v>
      </c>
      <c r="H277" s="375"/>
      <c r="I277" s="375"/>
      <c r="J277" s="447"/>
      <c r="K277" s="375"/>
      <c r="L277" s="218"/>
      <c r="M277" s="218"/>
      <c r="N277" s="206"/>
    </row>
    <row r="278" spans="1:14" ht="12.75">
      <c r="A278" s="367">
        <f t="shared" si="36"/>
        <v>262</v>
      </c>
      <c r="B278" s="368"/>
      <c r="C278" s="368"/>
      <c r="D278" s="369">
        <v>30</v>
      </c>
      <c r="E278" s="97" t="s">
        <v>242</v>
      </c>
      <c r="F278" s="375"/>
      <c r="G278" s="79">
        <f>H278+I278+J278+K278</f>
        <v>0</v>
      </c>
      <c r="H278" s="375"/>
      <c r="I278" s="375"/>
      <c r="J278" s="447"/>
      <c r="K278" s="375"/>
      <c r="L278" s="218"/>
      <c r="M278" s="218"/>
      <c r="N278" s="206"/>
    </row>
    <row r="279" spans="1:13" ht="12.75">
      <c r="A279" s="367">
        <f t="shared" si="36"/>
        <v>263</v>
      </c>
      <c r="B279" s="368"/>
      <c r="C279" s="368"/>
      <c r="D279" s="369"/>
      <c r="E279" s="85" t="s">
        <v>276</v>
      </c>
      <c r="F279" s="79">
        <f>F281</f>
        <v>30250</v>
      </c>
      <c r="G279" s="199">
        <f>H279+I279+J279+K279</f>
        <v>70862.65</v>
      </c>
      <c r="H279" s="79">
        <f>H281</f>
        <v>0</v>
      </c>
      <c r="I279" s="79">
        <f>I281</f>
        <v>0</v>
      </c>
      <c r="J279" s="450">
        <f>J281</f>
        <v>35831.37</v>
      </c>
      <c r="K279" s="79">
        <f>K281</f>
        <v>35031.28</v>
      </c>
      <c r="L279" s="218"/>
      <c r="M279" s="123"/>
    </row>
    <row r="280" spans="1:13" ht="12.75">
      <c r="A280" s="367"/>
      <c r="B280" s="368" t="s">
        <v>18</v>
      </c>
      <c r="C280" s="368" t="s">
        <v>247</v>
      </c>
      <c r="D280" s="86" t="s">
        <v>20</v>
      </c>
      <c r="E280" s="66"/>
      <c r="F280" s="79"/>
      <c r="G280" s="79"/>
      <c r="H280" s="79"/>
      <c r="I280" s="79"/>
      <c r="J280" s="450"/>
      <c r="K280" s="79"/>
      <c r="L280" s="218"/>
      <c r="M280" s="123"/>
    </row>
    <row r="281" spans="1:13" ht="12.75">
      <c r="A281" s="367">
        <f>A279+1</f>
        <v>264</v>
      </c>
      <c r="B281" s="377" t="s">
        <v>248</v>
      </c>
      <c r="C281" s="368"/>
      <c r="D281" s="369"/>
      <c r="E281" s="85" t="s">
        <v>249</v>
      </c>
      <c r="F281" s="49">
        <f>+F282+F285+F286+F289+F290</f>
        <v>30250</v>
      </c>
      <c r="G281" s="50">
        <f aca="true" t="shared" si="38" ref="G281:G293">H281+I281+J281+K281</f>
        <v>70862.65</v>
      </c>
      <c r="H281" s="49">
        <f>+H282+H285+H286+H289+H290</f>
        <v>0</v>
      </c>
      <c r="I281" s="49">
        <f>+I282+I285+I286+I289+I290</f>
        <v>0</v>
      </c>
      <c r="J281" s="209">
        <f>+J282+J285+J286+J289+J290</f>
        <v>35831.37</v>
      </c>
      <c r="K281" s="49">
        <f>+K282+K285+K286+K289+K290</f>
        <v>35031.28</v>
      </c>
      <c r="L281" s="218"/>
      <c r="M281" s="123"/>
    </row>
    <row r="282" spans="1:13" ht="12.75">
      <c r="A282" s="367">
        <f t="shared" si="36"/>
        <v>265</v>
      </c>
      <c r="B282" s="368"/>
      <c r="C282" s="377" t="s">
        <v>108</v>
      </c>
      <c r="D282" s="369"/>
      <c r="E282" s="85" t="s">
        <v>250</v>
      </c>
      <c r="F282" s="49">
        <f>+F283+F284</f>
        <v>0</v>
      </c>
      <c r="G282" s="50">
        <f t="shared" si="38"/>
        <v>0</v>
      </c>
      <c r="H282" s="49">
        <f>+H283+H284</f>
        <v>0</v>
      </c>
      <c r="I282" s="49">
        <f>+I283+I284</f>
        <v>0</v>
      </c>
      <c r="J282" s="209">
        <v>0</v>
      </c>
      <c r="K282" s="49">
        <f>+K283+K284</f>
        <v>0</v>
      </c>
      <c r="L282" s="218"/>
      <c r="M282" s="123"/>
    </row>
    <row r="283" spans="1:13" ht="12.75">
      <c r="A283" s="367">
        <f t="shared" si="36"/>
        <v>266</v>
      </c>
      <c r="B283" s="368"/>
      <c r="C283" s="368"/>
      <c r="D283" s="379" t="s">
        <v>80</v>
      </c>
      <c r="E283" s="66" t="s">
        <v>277</v>
      </c>
      <c r="F283" s="375"/>
      <c r="G283" s="79">
        <f t="shared" si="38"/>
        <v>0</v>
      </c>
      <c r="H283" s="375"/>
      <c r="I283" s="375"/>
      <c r="J283" s="447"/>
      <c r="K283" s="375"/>
      <c r="L283" s="218"/>
      <c r="M283" s="123"/>
    </row>
    <row r="284" spans="1:14" ht="12.75">
      <c r="A284" s="367">
        <f t="shared" si="36"/>
        <v>267</v>
      </c>
      <c r="B284" s="368"/>
      <c r="C284" s="368"/>
      <c r="D284" s="369">
        <v>50</v>
      </c>
      <c r="E284" s="66" t="s">
        <v>278</v>
      </c>
      <c r="F284" s="375"/>
      <c r="G284" s="79">
        <f t="shared" si="38"/>
        <v>0</v>
      </c>
      <c r="H284" s="375"/>
      <c r="I284" s="375"/>
      <c r="J284" s="447"/>
      <c r="K284" s="375"/>
      <c r="L284" s="218"/>
      <c r="N284" s="21"/>
    </row>
    <row r="285" spans="1:12" ht="12.75">
      <c r="A285" s="367">
        <f t="shared" si="36"/>
        <v>268</v>
      </c>
      <c r="B285" s="368"/>
      <c r="C285" s="377" t="s">
        <v>41</v>
      </c>
      <c r="D285" s="369"/>
      <c r="E285" s="59" t="s">
        <v>253</v>
      </c>
      <c r="F285" s="50">
        <v>0</v>
      </c>
      <c r="G285" s="50">
        <f t="shared" si="38"/>
        <v>0</v>
      </c>
      <c r="H285" s="50">
        <v>0</v>
      </c>
      <c r="I285" s="50">
        <v>0</v>
      </c>
      <c r="J285" s="449">
        <v>0</v>
      </c>
      <c r="K285" s="50">
        <v>0</v>
      </c>
      <c r="L285" s="218"/>
    </row>
    <row r="286" spans="1:12" ht="12.75">
      <c r="A286" s="367">
        <f t="shared" si="36"/>
        <v>269</v>
      </c>
      <c r="B286" s="368"/>
      <c r="C286" s="377" t="s">
        <v>154</v>
      </c>
      <c r="D286" s="369"/>
      <c r="E286" s="85" t="s">
        <v>279</v>
      </c>
      <c r="F286" s="49">
        <f>+F287+F288</f>
        <v>30250</v>
      </c>
      <c r="G286" s="50">
        <f t="shared" si="38"/>
        <v>70862.65</v>
      </c>
      <c r="H286" s="49">
        <f>+H287+H288</f>
        <v>0</v>
      </c>
      <c r="I286" s="49">
        <f>+I287+I288</f>
        <v>0</v>
      </c>
      <c r="J286" s="209">
        <f>+J287+J288</f>
        <v>35831.37</v>
      </c>
      <c r="K286" s="49">
        <f>+K287+K288</f>
        <v>35031.28</v>
      </c>
      <c r="L286" s="218"/>
    </row>
    <row r="287" spans="1:17" ht="12.75">
      <c r="A287" s="367">
        <f t="shared" si="36"/>
        <v>270</v>
      </c>
      <c r="B287" s="368"/>
      <c r="C287" s="368"/>
      <c r="D287" s="379" t="s">
        <v>47</v>
      </c>
      <c r="E287" s="66" t="s">
        <v>255</v>
      </c>
      <c r="F287" s="375">
        <v>30250</v>
      </c>
      <c r="G287" s="199">
        <f t="shared" si="38"/>
        <v>70862.65</v>
      </c>
      <c r="H287" s="375">
        <v>0</v>
      </c>
      <c r="I287" s="375">
        <v>0</v>
      </c>
      <c r="J287" s="447">
        <v>35831.37</v>
      </c>
      <c r="K287" s="375">
        <v>35031.28</v>
      </c>
      <c r="L287" s="218"/>
      <c r="M287" s="123"/>
      <c r="N287" s="218"/>
      <c r="O287" s="123"/>
      <c r="P287" s="123"/>
      <c r="Q287" s="123"/>
    </row>
    <row r="288" spans="1:23" ht="12.75">
      <c r="A288" s="367">
        <f t="shared" si="36"/>
        <v>271</v>
      </c>
      <c r="B288" s="368"/>
      <c r="C288" s="368"/>
      <c r="D288" s="379" t="s">
        <v>154</v>
      </c>
      <c r="E288" s="66" t="s">
        <v>256</v>
      </c>
      <c r="F288" s="375"/>
      <c r="G288" s="79">
        <f t="shared" si="38"/>
        <v>0</v>
      </c>
      <c r="H288" s="375"/>
      <c r="I288" s="375"/>
      <c r="J288" s="447"/>
      <c r="K288" s="375"/>
      <c r="L288" s="218"/>
      <c r="M288" s="123"/>
      <c r="N288" s="123"/>
      <c r="O288" s="123"/>
      <c r="P288" s="123"/>
      <c r="Q288" s="123"/>
      <c r="R288" s="123"/>
      <c r="S288" s="123"/>
      <c r="T288" s="123"/>
      <c r="U288" s="123"/>
      <c r="V288" s="123"/>
      <c r="W288" s="123"/>
    </row>
    <row r="289" spans="1:23" ht="12.75">
      <c r="A289" s="367">
        <f t="shared" si="36"/>
        <v>272</v>
      </c>
      <c r="B289" s="368"/>
      <c r="C289" s="368">
        <v>10</v>
      </c>
      <c r="D289" s="369"/>
      <c r="E289" s="85" t="s">
        <v>280</v>
      </c>
      <c r="F289" s="415"/>
      <c r="G289" s="79">
        <f t="shared" si="38"/>
        <v>0</v>
      </c>
      <c r="H289" s="415"/>
      <c r="I289" s="415"/>
      <c r="J289" s="460"/>
      <c r="K289" s="415"/>
      <c r="L289" s="218"/>
      <c r="M289" s="123"/>
      <c r="N289" s="214"/>
      <c r="O289" s="214"/>
      <c r="P289" s="214"/>
      <c r="Q289" s="319"/>
      <c r="R289" s="123"/>
      <c r="S289" s="123"/>
      <c r="T289" s="123"/>
      <c r="U289" s="123"/>
      <c r="V289" s="123"/>
      <c r="W289" s="123"/>
    </row>
    <row r="290" spans="1:23" ht="12.75">
      <c r="A290" s="367">
        <f t="shared" si="36"/>
        <v>273</v>
      </c>
      <c r="B290" s="368"/>
      <c r="C290" s="368">
        <v>50</v>
      </c>
      <c r="D290" s="369"/>
      <c r="E290" s="85" t="s">
        <v>281</v>
      </c>
      <c r="F290" s="49">
        <f>+F291+F292</f>
        <v>0</v>
      </c>
      <c r="G290" s="50">
        <f t="shared" si="38"/>
        <v>0</v>
      </c>
      <c r="H290" s="49">
        <f>+H291+H292</f>
        <v>0</v>
      </c>
      <c r="I290" s="49">
        <f>+I291+I292</f>
        <v>0</v>
      </c>
      <c r="J290" s="209">
        <v>0</v>
      </c>
      <c r="K290" s="49">
        <f>+K291+K292</f>
        <v>0</v>
      </c>
      <c r="L290" s="218"/>
      <c r="M290" s="123"/>
      <c r="N290" s="214"/>
      <c r="O290" s="214"/>
      <c r="P290" s="214"/>
      <c r="Q290" s="214"/>
      <c r="R290" s="123"/>
      <c r="S290" s="123"/>
      <c r="T290" s="123"/>
      <c r="U290" s="123"/>
      <c r="V290" s="123"/>
      <c r="W290" s="123"/>
    </row>
    <row r="291" spans="1:23" ht="12.75">
      <c r="A291" s="367">
        <f t="shared" si="36"/>
        <v>274</v>
      </c>
      <c r="B291" s="368"/>
      <c r="C291" s="368"/>
      <c r="D291" s="379" t="s">
        <v>47</v>
      </c>
      <c r="E291" s="66" t="s">
        <v>282</v>
      </c>
      <c r="F291" s="375"/>
      <c r="G291" s="79">
        <f t="shared" si="38"/>
        <v>0</v>
      </c>
      <c r="H291" s="375"/>
      <c r="I291" s="375"/>
      <c r="J291" s="447"/>
      <c r="K291" s="375"/>
      <c r="L291" s="218"/>
      <c r="M291" s="123"/>
      <c r="N291" s="214"/>
      <c r="O291" s="214"/>
      <c r="P291" s="214"/>
      <c r="Q291" s="214"/>
      <c r="R291" s="214"/>
      <c r="S291" s="123"/>
      <c r="T291" s="123"/>
      <c r="U291" s="123"/>
      <c r="V291" s="123"/>
      <c r="W291" s="123"/>
    </row>
    <row r="292" spans="1:23" ht="12.75">
      <c r="A292" s="367">
        <f t="shared" si="36"/>
        <v>275</v>
      </c>
      <c r="B292" s="368"/>
      <c r="C292" s="368"/>
      <c r="D292" s="369">
        <v>50</v>
      </c>
      <c r="E292" s="66" t="s">
        <v>283</v>
      </c>
      <c r="F292" s="375"/>
      <c r="G292" s="79">
        <f t="shared" si="38"/>
        <v>0</v>
      </c>
      <c r="H292" s="375"/>
      <c r="I292" s="375"/>
      <c r="J292" s="447"/>
      <c r="K292" s="375"/>
      <c r="L292" s="218"/>
      <c r="M292" s="123"/>
      <c r="N292" s="123"/>
      <c r="O292" s="123"/>
      <c r="P292" s="123"/>
      <c r="Q292" s="123"/>
      <c r="R292" s="123"/>
      <c r="S292" s="123"/>
      <c r="T292" s="123"/>
      <c r="U292" s="123"/>
      <c r="V292" s="123"/>
      <c r="W292" s="123"/>
    </row>
    <row r="293" spans="1:23" ht="12.75">
      <c r="A293" s="367">
        <f t="shared" si="36"/>
        <v>276</v>
      </c>
      <c r="B293" s="368"/>
      <c r="C293" s="368"/>
      <c r="D293" s="369"/>
      <c r="E293" s="407" t="s">
        <v>284</v>
      </c>
      <c r="F293" s="49">
        <f>+F295+F383</f>
        <v>0</v>
      </c>
      <c r="G293" s="50">
        <f t="shared" si="38"/>
        <v>12592</v>
      </c>
      <c r="H293" s="49">
        <f>+H295+H383</f>
        <v>0</v>
      </c>
      <c r="I293" s="49">
        <f>+I295+I383</f>
        <v>229</v>
      </c>
      <c r="J293" s="209">
        <f>+J295+J383</f>
        <v>4016</v>
      </c>
      <c r="K293" s="49">
        <f>+K295+K383</f>
        <v>8347</v>
      </c>
      <c r="L293" s="218">
        <v>12592</v>
      </c>
      <c r="M293" s="320">
        <v>0</v>
      </c>
      <c r="N293" s="218">
        <v>229</v>
      </c>
      <c r="O293" s="215">
        <v>4016</v>
      </c>
      <c r="P293" s="215">
        <v>8347</v>
      </c>
      <c r="Q293" s="216"/>
      <c r="R293" s="216"/>
      <c r="S293" s="217"/>
      <c r="T293" s="123"/>
      <c r="U293" s="123"/>
      <c r="V293" s="123"/>
      <c r="W293" s="123"/>
    </row>
    <row r="294" spans="1:23" ht="12.75">
      <c r="A294" s="367"/>
      <c r="B294" s="368" t="s">
        <v>59</v>
      </c>
      <c r="C294" s="368" t="s">
        <v>60</v>
      </c>
      <c r="D294" s="86" t="s">
        <v>61</v>
      </c>
      <c r="E294" s="66"/>
      <c r="F294" s="79"/>
      <c r="G294" s="79"/>
      <c r="H294" s="79"/>
      <c r="I294" s="79"/>
      <c r="J294" s="450"/>
      <c r="K294" s="79"/>
      <c r="L294" s="218"/>
      <c r="M294" s="70"/>
      <c r="N294" s="218"/>
      <c r="O294" s="215"/>
      <c r="P294" s="217"/>
      <c r="Q294" s="218"/>
      <c r="R294" s="216"/>
      <c r="S294" s="217"/>
      <c r="T294" s="123"/>
      <c r="U294" s="123"/>
      <c r="V294" s="123"/>
      <c r="W294" s="123"/>
    </row>
    <row r="295" spans="1:23" ht="12.75">
      <c r="A295" s="367">
        <f>A293+1</f>
        <v>277</v>
      </c>
      <c r="B295" s="368"/>
      <c r="C295" s="368"/>
      <c r="D295" s="86"/>
      <c r="E295" s="85" t="s">
        <v>285</v>
      </c>
      <c r="F295" s="49">
        <f>+F296+F330+F372+F375+F376</f>
        <v>0</v>
      </c>
      <c r="G295" s="50">
        <f aca="true" t="shared" si="39" ref="G295:G358">H295+I295+J295+K295</f>
        <v>9601</v>
      </c>
      <c r="H295" s="166">
        <f>+H296+H330+H372</f>
        <v>0</v>
      </c>
      <c r="I295" s="166">
        <f>+I296+I330+I372</f>
        <v>229</v>
      </c>
      <c r="J295" s="461">
        <f>+J296+J330+J372</f>
        <v>2624</v>
      </c>
      <c r="K295" s="166">
        <f>+K296+K330+K372</f>
        <v>6748</v>
      </c>
      <c r="L295" s="218"/>
      <c r="M295" s="214"/>
      <c r="N295" s="218"/>
      <c r="O295" s="215"/>
      <c r="P295" s="215"/>
      <c r="Q295" s="216"/>
      <c r="R295" s="216"/>
      <c r="S295" s="217"/>
      <c r="T295" s="99"/>
      <c r="U295" s="123"/>
      <c r="V295" s="123"/>
      <c r="W295" s="123"/>
    </row>
    <row r="296" spans="1:23" ht="12.75">
      <c r="A296" s="367">
        <f aca="true" t="shared" si="40" ref="A296:A359">A295+1</f>
        <v>278</v>
      </c>
      <c r="B296" s="368">
        <v>10</v>
      </c>
      <c r="C296" s="368"/>
      <c r="D296" s="86"/>
      <c r="E296" s="85" t="s">
        <v>286</v>
      </c>
      <c r="F296" s="49">
        <f>+F297+F315+F322</f>
        <v>0</v>
      </c>
      <c r="G296" s="50">
        <f t="shared" si="39"/>
        <v>7680.4</v>
      </c>
      <c r="H296" s="166">
        <f>+H297+H315+H322</f>
        <v>0</v>
      </c>
      <c r="I296" s="166">
        <f>+I297+I315+I322</f>
        <v>0</v>
      </c>
      <c r="J296" s="461">
        <f>+J297+J315+J322</f>
        <v>2005</v>
      </c>
      <c r="K296" s="166">
        <f>+K297+K315+K322</f>
        <v>5675.4</v>
      </c>
      <c r="L296" s="218"/>
      <c r="M296" s="214"/>
      <c r="N296" s="218"/>
      <c r="O296" s="215"/>
      <c r="P296" s="217"/>
      <c r="Q296" s="216"/>
      <c r="R296" s="216"/>
      <c r="S296" s="217"/>
      <c r="T296" s="99"/>
      <c r="U296" s="123"/>
      <c r="V296" s="123"/>
      <c r="W296" s="123"/>
    </row>
    <row r="297" spans="1:23" ht="12.75">
      <c r="A297" s="367">
        <f t="shared" si="40"/>
        <v>279</v>
      </c>
      <c r="B297" s="368"/>
      <c r="C297" s="377" t="s">
        <v>47</v>
      </c>
      <c r="D297" s="369"/>
      <c r="E297" s="85" t="s">
        <v>142</v>
      </c>
      <c r="F297" s="49">
        <f>+F298+F299+F300+F301+F302+F303+F304+F305+F306+F307+F308+F309+F310+F311+F312+F313+F314</f>
        <v>0</v>
      </c>
      <c r="G297" s="50">
        <f t="shared" si="39"/>
        <v>5662.28</v>
      </c>
      <c r="H297" s="166">
        <f>+H298+H299+H300+H301+H302+H303+H304+H305+H306+H307+H308+H309+H310+H311+H312+H313+H314</f>
        <v>0</v>
      </c>
      <c r="I297" s="166">
        <f>+I298+I299+I300+I301+I302+I303+I304+I305+I306+I307+I308+I309+I310+I311+I312+I313+I314</f>
        <v>0</v>
      </c>
      <c r="J297" s="461">
        <f>+J298+J299+J300+J301+J302+J303+J304+J305+J306+J307+J308+J309+J310+J311+J312+J313+J314</f>
        <v>1427.46</v>
      </c>
      <c r="K297" s="166">
        <f>+K298+K299+K300+K301+K302+K303+K304+K305+K306+K307+K308+K309+K310+K311+K312+K313+K314</f>
        <v>4234.82</v>
      </c>
      <c r="L297" s="218"/>
      <c r="M297" s="214"/>
      <c r="N297" s="218"/>
      <c r="O297" s="215"/>
      <c r="P297" s="217"/>
      <c r="Q297" s="216"/>
      <c r="R297" s="216"/>
      <c r="S297" s="217"/>
      <c r="T297" s="130"/>
      <c r="U297" s="123"/>
      <c r="V297" s="123"/>
      <c r="W297" s="123"/>
    </row>
    <row r="298" spans="1:23" ht="12.75">
      <c r="A298" s="367">
        <f t="shared" si="40"/>
        <v>280</v>
      </c>
      <c r="B298" s="368"/>
      <c r="C298" s="368"/>
      <c r="D298" s="379" t="s">
        <v>47</v>
      </c>
      <c r="E298" s="66" t="s">
        <v>144</v>
      </c>
      <c r="F298" s="416"/>
      <c r="G298" s="79">
        <f t="shared" si="39"/>
        <v>4434.85</v>
      </c>
      <c r="H298" s="462"/>
      <c r="I298" s="462"/>
      <c r="J298" s="463">
        <f>1117.75+43.87+150-190</f>
        <v>1121.62</v>
      </c>
      <c r="K298" s="462">
        <v>3313.23</v>
      </c>
      <c r="L298" s="218">
        <v>4434.85</v>
      </c>
      <c r="M298" s="440"/>
      <c r="N298" s="218"/>
      <c r="O298" s="215"/>
      <c r="P298" s="217"/>
      <c r="Q298" s="216"/>
      <c r="R298" s="216"/>
      <c r="S298" s="217"/>
      <c r="T298" s="221"/>
      <c r="U298" s="123"/>
      <c r="V298" s="123"/>
      <c r="W298" s="123"/>
    </row>
    <row r="299" spans="1:23" ht="12.75">
      <c r="A299" s="367">
        <f t="shared" si="40"/>
        <v>281</v>
      </c>
      <c r="B299" s="368"/>
      <c r="C299" s="368"/>
      <c r="D299" s="379" t="s">
        <v>80</v>
      </c>
      <c r="E299" s="66" t="s">
        <v>146</v>
      </c>
      <c r="F299" s="416"/>
      <c r="G299" s="79">
        <f t="shared" si="39"/>
        <v>0</v>
      </c>
      <c r="H299" s="462"/>
      <c r="I299" s="462"/>
      <c r="J299" s="463">
        <v>0</v>
      </c>
      <c r="K299" s="462">
        <v>0</v>
      </c>
      <c r="L299" s="218"/>
      <c r="M299" s="440"/>
      <c r="N299" s="218"/>
      <c r="O299" s="215"/>
      <c r="P299" s="217"/>
      <c r="Q299" s="216"/>
      <c r="R299" s="216"/>
      <c r="S299" s="217"/>
      <c r="T299" s="221"/>
      <c r="U299" s="123"/>
      <c r="V299" s="123"/>
      <c r="W299" s="123"/>
    </row>
    <row r="300" spans="1:23" ht="12.75">
      <c r="A300" s="367">
        <f t="shared" si="40"/>
        <v>282</v>
      </c>
      <c r="B300" s="368"/>
      <c r="C300" s="368"/>
      <c r="D300" s="379" t="s">
        <v>84</v>
      </c>
      <c r="E300" s="66" t="s">
        <v>148</v>
      </c>
      <c r="F300" s="416"/>
      <c r="G300" s="79">
        <f t="shared" si="39"/>
        <v>0</v>
      </c>
      <c r="H300" s="462"/>
      <c r="I300" s="462"/>
      <c r="J300" s="463">
        <v>0</v>
      </c>
      <c r="K300" s="462">
        <v>0</v>
      </c>
      <c r="L300" s="218"/>
      <c r="M300" s="440"/>
      <c r="N300" s="218"/>
      <c r="O300" s="215"/>
      <c r="P300" s="217"/>
      <c r="Q300" s="216"/>
      <c r="R300" s="216"/>
      <c r="S300" s="217"/>
      <c r="T300" s="221"/>
      <c r="U300" s="123"/>
      <c r="V300" s="123"/>
      <c r="W300" s="123"/>
    </row>
    <row r="301" spans="1:23" ht="12.75">
      <c r="A301" s="367">
        <f t="shared" si="40"/>
        <v>283</v>
      </c>
      <c r="B301" s="368"/>
      <c r="C301" s="368"/>
      <c r="D301" s="379" t="s">
        <v>108</v>
      </c>
      <c r="E301" s="66" t="s">
        <v>150</v>
      </c>
      <c r="F301" s="416"/>
      <c r="G301" s="79">
        <f t="shared" si="39"/>
        <v>0</v>
      </c>
      <c r="H301" s="462"/>
      <c r="I301" s="462"/>
      <c r="J301" s="463">
        <v>0</v>
      </c>
      <c r="K301" s="462">
        <v>0</v>
      </c>
      <c r="L301" s="218"/>
      <c r="M301" s="440"/>
      <c r="N301" s="218"/>
      <c r="O301" s="215"/>
      <c r="P301" s="217"/>
      <c r="Q301" s="216"/>
      <c r="R301" s="216"/>
      <c r="S301" s="217"/>
      <c r="T301" s="221"/>
      <c r="U301" s="123"/>
      <c r="V301" s="123"/>
      <c r="W301" s="123"/>
    </row>
    <row r="302" spans="1:23" ht="12.75">
      <c r="A302" s="367">
        <f t="shared" si="40"/>
        <v>284</v>
      </c>
      <c r="B302" s="368"/>
      <c r="C302" s="368"/>
      <c r="D302" s="379" t="s">
        <v>41</v>
      </c>
      <c r="E302" s="66" t="s">
        <v>152</v>
      </c>
      <c r="F302" s="416"/>
      <c r="G302" s="79">
        <f t="shared" si="39"/>
        <v>931.61</v>
      </c>
      <c r="H302" s="462"/>
      <c r="I302" s="462"/>
      <c r="J302" s="463">
        <f>258.22-30</f>
        <v>228.22000000000003</v>
      </c>
      <c r="K302" s="462">
        <v>703.39</v>
      </c>
      <c r="L302" s="218">
        <v>931.61</v>
      </c>
      <c r="M302" s="440"/>
      <c r="N302" s="218"/>
      <c r="O302" s="215"/>
      <c r="P302" s="217"/>
      <c r="Q302" s="216"/>
      <c r="R302" s="216"/>
      <c r="S302" s="217"/>
      <c r="T302" s="221"/>
      <c r="U302" s="123"/>
      <c r="V302" s="123"/>
      <c r="W302" s="123"/>
    </row>
    <row r="303" spans="1:23" ht="12.75">
      <c r="A303" s="367">
        <f t="shared" si="40"/>
        <v>285</v>
      </c>
      <c r="B303" s="368"/>
      <c r="C303" s="368"/>
      <c r="D303" s="379" t="s">
        <v>154</v>
      </c>
      <c r="E303" s="66" t="s">
        <v>155</v>
      </c>
      <c r="F303" s="416"/>
      <c r="G303" s="79">
        <f t="shared" si="39"/>
        <v>120</v>
      </c>
      <c r="H303" s="77"/>
      <c r="I303" s="77"/>
      <c r="J303" s="464">
        <v>29.96</v>
      </c>
      <c r="K303" s="77">
        <v>90.04</v>
      </c>
      <c r="L303" s="218">
        <v>120</v>
      </c>
      <c r="M303" s="440"/>
      <c r="N303" s="218"/>
      <c r="O303" s="215"/>
      <c r="P303" s="217"/>
      <c r="Q303" s="216"/>
      <c r="R303" s="216"/>
      <c r="S303" s="217"/>
      <c r="T303" s="221"/>
      <c r="U303" s="123"/>
      <c r="V303" s="123"/>
      <c r="W303" s="123"/>
    </row>
    <row r="304" spans="1:23" ht="12.75">
      <c r="A304" s="367">
        <f t="shared" si="40"/>
        <v>286</v>
      </c>
      <c r="B304" s="368"/>
      <c r="C304" s="368"/>
      <c r="D304" s="379" t="s">
        <v>157</v>
      </c>
      <c r="E304" s="66" t="s">
        <v>158</v>
      </c>
      <c r="F304" s="416"/>
      <c r="G304" s="79">
        <f t="shared" si="39"/>
        <v>0</v>
      </c>
      <c r="H304" s="77"/>
      <c r="I304" s="77"/>
      <c r="J304" s="464">
        <v>0</v>
      </c>
      <c r="K304" s="77">
        <v>0</v>
      </c>
      <c r="L304" s="218"/>
      <c r="M304" s="440"/>
      <c r="N304" s="218"/>
      <c r="O304" s="215"/>
      <c r="P304" s="217"/>
      <c r="Q304" s="216"/>
      <c r="R304" s="216"/>
      <c r="S304" s="217"/>
      <c r="T304" s="221"/>
      <c r="U304" s="123"/>
      <c r="V304" s="123"/>
      <c r="W304" s="123"/>
    </row>
    <row r="305" spans="1:23" ht="12.75">
      <c r="A305" s="367">
        <f t="shared" si="40"/>
        <v>287</v>
      </c>
      <c r="B305" s="368"/>
      <c r="C305" s="368"/>
      <c r="D305" s="379" t="s">
        <v>65</v>
      </c>
      <c r="E305" s="66" t="s">
        <v>159</v>
      </c>
      <c r="F305" s="416"/>
      <c r="G305" s="79">
        <f t="shared" si="39"/>
        <v>0</v>
      </c>
      <c r="H305" s="77"/>
      <c r="I305" s="77"/>
      <c r="J305" s="464">
        <v>0</v>
      </c>
      <c r="K305" s="77">
        <v>0</v>
      </c>
      <c r="L305" s="218"/>
      <c r="M305" s="440"/>
      <c r="N305" s="218"/>
      <c r="O305" s="215"/>
      <c r="P305" s="217"/>
      <c r="Q305" s="216"/>
      <c r="R305" s="216"/>
      <c r="S305" s="217"/>
      <c r="T305" s="221"/>
      <c r="U305" s="123"/>
      <c r="V305" s="123"/>
      <c r="W305" s="123"/>
    </row>
    <row r="306" spans="1:23" ht="12.75">
      <c r="A306" s="367">
        <f t="shared" si="40"/>
        <v>288</v>
      </c>
      <c r="B306" s="368"/>
      <c r="C306" s="368"/>
      <c r="D306" s="379" t="s">
        <v>160</v>
      </c>
      <c r="E306" s="66" t="s">
        <v>264</v>
      </c>
      <c r="F306" s="416"/>
      <c r="G306" s="79">
        <f t="shared" si="39"/>
        <v>0</v>
      </c>
      <c r="H306" s="77"/>
      <c r="I306" s="77"/>
      <c r="J306" s="464">
        <v>0</v>
      </c>
      <c r="K306" s="77">
        <v>0</v>
      </c>
      <c r="L306" s="218"/>
      <c r="M306" s="440"/>
      <c r="N306" s="218"/>
      <c r="O306" s="215"/>
      <c r="P306" s="217"/>
      <c r="Q306" s="216"/>
      <c r="R306" s="216"/>
      <c r="S306" s="217"/>
      <c r="T306" s="221"/>
      <c r="U306" s="123"/>
      <c r="V306" s="123"/>
      <c r="W306" s="123"/>
    </row>
    <row r="307" spans="1:23" ht="12.75">
      <c r="A307" s="367">
        <f t="shared" si="40"/>
        <v>289</v>
      </c>
      <c r="B307" s="368"/>
      <c r="C307" s="368"/>
      <c r="D307" s="369">
        <v>10</v>
      </c>
      <c r="E307" s="66" t="s">
        <v>162</v>
      </c>
      <c r="F307" s="416"/>
      <c r="G307" s="79">
        <f t="shared" si="39"/>
        <v>0</v>
      </c>
      <c r="H307" s="77"/>
      <c r="I307" s="77"/>
      <c r="J307" s="464">
        <v>0</v>
      </c>
      <c r="K307" s="77">
        <v>0</v>
      </c>
      <c r="L307" s="218"/>
      <c r="M307" s="440"/>
      <c r="N307" s="218"/>
      <c r="O307" s="215"/>
      <c r="P307" s="217"/>
      <c r="Q307" s="216"/>
      <c r="R307" s="216"/>
      <c r="S307" s="217"/>
      <c r="T307" s="130"/>
      <c r="U307" s="123"/>
      <c r="V307" s="123"/>
      <c r="W307" s="123"/>
    </row>
    <row r="308" spans="1:23" ht="12.75">
      <c r="A308" s="367">
        <f t="shared" si="40"/>
        <v>290</v>
      </c>
      <c r="B308" s="368"/>
      <c r="C308" s="368"/>
      <c r="D308" s="369">
        <v>11</v>
      </c>
      <c r="E308" s="66" t="s">
        <v>163</v>
      </c>
      <c r="F308" s="416"/>
      <c r="G308" s="79">
        <f t="shared" si="39"/>
        <v>175.82</v>
      </c>
      <c r="H308" s="77"/>
      <c r="I308" s="77"/>
      <c r="J308" s="464">
        <v>47.66</v>
      </c>
      <c r="K308" s="77">
        <v>128.16</v>
      </c>
      <c r="L308" s="218">
        <v>175.82</v>
      </c>
      <c r="M308" s="440"/>
      <c r="N308" s="218"/>
      <c r="O308" s="215"/>
      <c r="P308" s="217"/>
      <c r="Q308" s="216"/>
      <c r="R308" s="216"/>
      <c r="S308" s="217"/>
      <c r="T308" s="130"/>
      <c r="U308" s="123"/>
      <c r="V308" s="123"/>
      <c r="W308" s="123"/>
    </row>
    <row r="309" spans="1:23" ht="12.75">
      <c r="A309" s="367">
        <f t="shared" si="40"/>
        <v>291</v>
      </c>
      <c r="B309" s="368"/>
      <c r="C309" s="368"/>
      <c r="D309" s="369">
        <v>12</v>
      </c>
      <c r="E309" s="66" t="s">
        <v>164</v>
      </c>
      <c r="F309" s="416"/>
      <c r="G309" s="79">
        <f t="shared" si="39"/>
        <v>0</v>
      </c>
      <c r="H309" s="77"/>
      <c r="I309" s="77"/>
      <c r="J309" s="464">
        <v>0</v>
      </c>
      <c r="K309" s="77">
        <v>0</v>
      </c>
      <c r="L309" s="218"/>
      <c r="M309" s="440"/>
      <c r="N309" s="218"/>
      <c r="O309" s="215"/>
      <c r="P309" s="217"/>
      <c r="Q309" s="216"/>
      <c r="R309" s="216"/>
      <c r="S309" s="217"/>
      <c r="T309" s="130"/>
      <c r="U309" s="123"/>
      <c r="V309" s="123"/>
      <c r="W309" s="123"/>
    </row>
    <row r="310" spans="1:23" ht="12.75">
      <c r="A310" s="367">
        <f t="shared" si="40"/>
        <v>292</v>
      </c>
      <c r="B310" s="368"/>
      <c r="C310" s="368"/>
      <c r="D310" s="369">
        <v>13</v>
      </c>
      <c r="E310" s="66" t="s">
        <v>165</v>
      </c>
      <c r="F310" s="416"/>
      <c r="G310" s="79">
        <f t="shared" si="39"/>
        <v>0</v>
      </c>
      <c r="H310" s="77"/>
      <c r="I310" s="77"/>
      <c r="J310" s="464">
        <v>0</v>
      </c>
      <c r="K310" s="77">
        <v>0</v>
      </c>
      <c r="L310" s="218"/>
      <c r="M310" s="440"/>
      <c r="N310" s="218"/>
      <c r="O310" s="215"/>
      <c r="P310" s="217"/>
      <c r="Q310" s="216"/>
      <c r="R310" s="216"/>
      <c r="S310" s="217"/>
      <c r="T310" s="130"/>
      <c r="U310" s="123"/>
      <c r="V310" s="123"/>
      <c r="W310" s="123"/>
    </row>
    <row r="311" spans="1:23" ht="12.75">
      <c r="A311" s="367">
        <f t="shared" si="40"/>
        <v>293</v>
      </c>
      <c r="B311" s="368"/>
      <c r="C311" s="368"/>
      <c r="D311" s="369">
        <v>14</v>
      </c>
      <c r="E311" s="66" t="s">
        <v>166</v>
      </c>
      <c r="F311" s="416"/>
      <c r="G311" s="79">
        <f t="shared" si="39"/>
        <v>0</v>
      </c>
      <c r="H311" s="77"/>
      <c r="I311" s="77"/>
      <c r="J311" s="464">
        <v>0</v>
      </c>
      <c r="K311" s="77">
        <v>0</v>
      </c>
      <c r="L311" s="218"/>
      <c r="M311" s="440"/>
      <c r="N311" s="218"/>
      <c r="O311" s="215"/>
      <c r="P311" s="217"/>
      <c r="Q311" s="216"/>
      <c r="R311" s="216"/>
      <c r="S311" s="217"/>
      <c r="T311" s="130"/>
      <c r="U311" s="123"/>
      <c r="V311" s="123"/>
      <c r="W311" s="123"/>
    </row>
    <row r="312" spans="1:23" ht="12.75">
      <c r="A312" s="367">
        <f t="shared" si="40"/>
        <v>294</v>
      </c>
      <c r="B312" s="368"/>
      <c r="C312" s="368"/>
      <c r="D312" s="369">
        <v>15</v>
      </c>
      <c r="E312" s="66" t="s">
        <v>167</v>
      </c>
      <c r="F312" s="416"/>
      <c r="G312" s="79">
        <f t="shared" si="39"/>
        <v>0</v>
      </c>
      <c r="H312" s="77"/>
      <c r="I312" s="77"/>
      <c r="J312" s="464">
        <v>0</v>
      </c>
      <c r="K312" s="77">
        <v>0</v>
      </c>
      <c r="L312" s="218"/>
      <c r="M312" s="440"/>
      <c r="N312" s="218"/>
      <c r="O312" s="215"/>
      <c r="P312" s="217"/>
      <c r="Q312" s="216"/>
      <c r="R312" s="216"/>
      <c r="S312" s="217"/>
      <c r="T312" s="130"/>
      <c r="U312" s="123"/>
      <c r="V312" s="123"/>
      <c r="W312" s="123"/>
    </row>
    <row r="313" spans="1:23" ht="12.75">
      <c r="A313" s="367">
        <f t="shared" si="40"/>
        <v>295</v>
      </c>
      <c r="B313" s="368"/>
      <c r="C313" s="368"/>
      <c r="D313" s="369">
        <v>16</v>
      </c>
      <c r="E313" s="66" t="s">
        <v>168</v>
      </c>
      <c r="F313" s="416"/>
      <c r="G313" s="79">
        <f t="shared" si="39"/>
        <v>0</v>
      </c>
      <c r="H313" s="77"/>
      <c r="I313" s="77"/>
      <c r="J313" s="464">
        <v>0</v>
      </c>
      <c r="K313" s="77">
        <v>0</v>
      </c>
      <c r="L313" s="218"/>
      <c r="M313" s="440"/>
      <c r="N313" s="218"/>
      <c r="O313" s="215"/>
      <c r="P313" s="217"/>
      <c r="Q313" s="216"/>
      <c r="R313" s="216"/>
      <c r="S313" s="217"/>
      <c r="T313" s="130"/>
      <c r="U313" s="123"/>
      <c r="V313" s="123"/>
      <c r="W313" s="123"/>
    </row>
    <row r="314" spans="1:23" ht="12.75">
      <c r="A314" s="367">
        <f t="shared" si="40"/>
        <v>296</v>
      </c>
      <c r="B314" s="368"/>
      <c r="C314" s="368"/>
      <c r="D314" s="369">
        <v>30</v>
      </c>
      <c r="E314" s="66" t="s">
        <v>169</v>
      </c>
      <c r="F314" s="416"/>
      <c r="G314" s="79">
        <f t="shared" si="39"/>
        <v>0</v>
      </c>
      <c r="H314" s="77"/>
      <c r="I314" s="77"/>
      <c r="J314" s="464">
        <v>0</v>
      </c>
      <c r="K314" s="77">
        <v>0</v>
      </c>
      <c r="L314" s="218"/>
      <c r="M314" s="440"/>
      <c r="N314" s="218"/>
      <c r="O314" s="215"/>
      <c r="P314" s="217"/>
      <c r="Q314" s="216"/>
      <c r="R314" s="216"/>
      <c r="S314" s="217"/>
      <c r="T314" s="130"/>
      <c r="U314" s="123"/>
      <c r="V314" s="123"/>
      <c r="W314" s="123"/>
    </row>
    <row r="315" spans="1:23" ht="12.75">
      <c r="A315" s="367">
        <f t="shared" si="40"/>
        <v>297</v>
      </c>
      <c r="B315" s="368"/>
      <c r="C315" s="377" t="s">
        <v>80</v>
      </c>
      <c r="D315" s="369"/>
      <c r="E315" s="85" t="s">
        <v>170</v>
      </c>
      <c r="F315" s="49">
        <f>+F316+F317+F318+F319+F320+F321</f>
        <v>0</v>
      </c>
      <c r="G315" s="50">
        <f t="shared" si="39"/>
        <v>440.80999999999995</v>
      </c>
      <c r="H315" s="166">
        <f>+H316+H317+H318+H319+H320+H321</f>
        <v>0</v>
      </c>
      <c r="I315" s="166">
        <f>+I316+I317+I318+I319+I320+I321</f>
        <v>0</v>
      </c>
      <c r="J315" s="461">
        <f>+J316+J317+J318+J319+J320+J321</f>
        <v>145.66</v>
      </c>
      <c r="K315" s="166">
        <f>+K316+K317+K318+K319+K320+K321</f>
        <v>295.15</v>
      </c>
      <c r="L315" s="218"/>
      <c r="M315" s="440"/>
      <c r="N315" s="218"/>
      <c r="O315" s="215"/>
      <c r="P315" s="217"/>
      <c r="Q315" s="216"/>
      <c r="R315" s="216"/>
      <c r="S315" s="217"/>
      <c r="T315" s="130"/>
      <c r="U315" s="123"/>
      <c r="V315" s="123"/>
      <c r="W315" s="123"/>
    </row>
    <row r="316" spans="1:23" ht="12.75">
      <c r="A316" s="367">
        <f t="shared" si="40"/>
        <v>298</v>
      </c>
      <c r="B316" s="368"/>
      <c r="C316" s="368"/>
      <c r="D316" s="379" t="s">
        <v>47</v>
      </c>
      <c r="E316" s="66" t="s">
        <v>265</v>
      </c>
      <c r="F316" s="416"/>
      <c r="G316" s="79">
        <f t="shared" si="39"/>
        <v>440.80999999999995</v>
      </c>
      <c r="H316" s="462"/>
      <c r="I316" s="462"/>
      <c r="J316" s="463">
        <v>145.66</v>
      </c>
      <c r="K316" s="462">
        <v>295.15</v>
      </c>
      <c r="L316" s="218">
        <v>440.81</v>
      </c>
      <c r="M316" s="440"/>
      <c r="N316" s="218"/>
      <c r="O316" s="215"/>
      <c r="P316" s="217"/>
      <c r="Q316" s="216"/>
      <c r="R316" s="216"/>
      <c r="S316" s="217"/>
      <c r="T316" s="221"/>
      <c r="U316" s="123"/>
      <c r="V316" s="123"/>
      <c r="W316" s="123"/>
    </row>
    <row r="317" spans="1:23" ht="12.75">
      <c r="A317" s="367">
        <f t="shared" si="40"/>
        <v>299</v>
      </c>
      <c r="B317" s="368"/>
      <c r="C317" s="368"/>
      <c r="D317" s="379" t="s">
        <v>80</v>
      </c>
      <c r="E317" s="66" t="s">
        <v>266</v>
      </c>
      <c r="F317" s="375"/>
      <c r="G317" s="79">
        <f t="shared" si="39"/>
        <v>0</v>
      </c>
      <c r="H317" s="77"/>
      <c r="I317" s="77"/>
      <c r="J317" s="464">
        <v>0</v>
      </c>
      <c r="K317" s="77">
        <v>0</v>
      </c>
      <c r="L317" s="218"/>
      <c r="M317" s="440"/>
      <c r="N317" s="218"/>
      <c r="O317" s="215"/>
      <c r="P317" s="217"/>
      <c r="Q317" s="216"/>
      <c r="R317" s="216"/>
      <c r="S317" s="217"/>
      <c r="T317" s="221"/>
      <c r="U317" s="123"/>
      <c r="V317" s="123"/>
      <c r="W317" s="123"/>
    </row>
    <row r="318" spans="1:23" ht="12.75">
      <c r="A318" s="367">
        <f t="shared" si="40"/>
        <v>300</v>
      </c>
      <c r="B318" s="368"/>
      <c r="C318" s="368"/>
      <c r="D318" s="379" t="s">
        <v>84</v>
      </c>
      <c r="E318" s="66" t="s">
        <v>173</v>
      </c>
      <c r="F318" s="375"/>
      <c r="G318" s="79">
        <f t="shared" si="39"/>
        <v>0</v>
      </c>
      <c r="H318" s="77"/>
      <c r="I318" s="77"/>
      <c r="J318" s="464">
        <v>0</v>
      </c>
      <c r="K318" s="77">
        <v>0</v>
      </c>
      <c r="L318" s="218"/>
      <c r="M318" s="440"/>
      <c r="N318" s="218"/>
      <c r="O318" s="215"/>
      <c r="P318" s="217"/>
      <c r="Q318" s="216"/>
      <c r="R318" s="216"/>
      <c r="S318" s="217"/>
      <c r="T318" s="221"/>
      <c r="U318" s="123"/>
      <c r="V318" s="123"/>
      <c r="W318" s="123"/>
    </row>
    <row r="319" spans="1:23" ht="12.75">
      <c r="A319" s="367">
        <f t="shared" si="40"/>
        <v>301</v>
      </c>
      <c r="B319" s="368"/>
      <c r="C319" s="368"/>
      <c r="D319" s="379" t="s">
        <v>108</v>
      </c>
      <c r="E319" s="66" t="s">
        <v>267</v>
      </c>
      <c r="F319" s="375"/>
      <c r="G319" s="79">
        <f t="shared" si="39"/>
        <v>0</v>
      </c>
      <c r="H319" s="77"/>
      <c r="I319" s="77"/>
      <c r="J319" s="464">
        <v>0</v>
      </c>
      <c r="K319" s="77">
        <v>0</v>
      </c>
      <c r="L319" s="218"/>
      <c r="M319" s="440"/>
      <c r="N319" s="218"/>
      <c r="O319" s="215"/>
      <c r="P319" s="217"/>
      <c r="Q319" s="216"/>
      <c r="R319" s="216"/>
      <c r="S319" s="217"/>
      <c r="T319" s="221"/>
      <c r="U319" s="123"/>
      <c r="V319" s="123"/>
      <c r="W319" s="123"/>
    </row>
    <row r="320" spans="1:23" ht="12.75">
      <c r="A320" s="367">
        <f t="shared" si="40"/>
        <v>302</v>
      </c>
      <c r="B320" s="368"/>
      <c r="C320" s="368"/>
      <c r="D320" s="379" t="s">
        <v>41</v>
      </c>
      <c r="E320" s="66" t="s">
        <v>268</v>
      </c>
      <c r="F320" s="375"/>
      <c r="G320" s="79">
        <f t="shared" si="39"/>
        <v>0</v>
      </c>
      <c r="H320" s="77"/>
      <c r="I320" s="77"/>
      <c r="J320" s="464">
        <v>0</v>
      </c>
      <c r="K320" s="77">
        <v>0</v>
      </c>
      <c r="L320" s="218"/>
      <c r="M320" s="440"/>
      <c r="N320" s="218"/>
      <c r="O320" s="215"/>
      <c r="P320" s="217"/>
      <c r="Q320" s="216"/>
      <c r="R320" s="216"/>
      <c r="S320" s="217"/>
      <c r="T320" s="221"/>
      <c r="U320" s="123"/>
      <c r="V320" s="123"/>
      <c r="W320" s="123"/>
    </row>
    <row r="321" spans="1:23" ht="12.75">
      <c r="A321" s="367">
        <f t="shared" si="40"/>
        <v>303</v>
      </c>
      <c r="B321" s="368"/>
      <c r="C321" s="368"/>
      <c r="D321" s="369">
        <v>30</v>
      </c>
      <c r="E321" s="66" t="s">
        <v>176</v>
      </c>
      <c r="F321" s="375"/>
      <c r="G321" s="79">
        <f t="shared" si="39"/>
        <v>0</v>
      </c>
      <c r="H321" s="77"/>
      <c r="I321" s="77"/>
      <c r="J321" s="464">
        <v>0</v>
      </c>
      <c r="K321" s="77">
        <v>0</v>
      </c>
      <c r="L321" s="218"/>
      <c r="M321" s="440"/>
      <c r="N321" s="218"/>
      <c r="O321" s="215"/>
      <c r="P321" s="217"/>
      <c r="Q321" s="216"/>
      <c r="R321" s="216"/>
      <c r="S321" s="217"/>
      <c r="T321" s="130"/>
      <c r="U321" s="123"/>
      <c r="V321" s="123"/>
      <c r="W321" s="123"/>
    </row>
    <row r="322" spans="1:23" ht="12.75">
      <c r="A322" s="367">
        <f t="shared" si="40"/>
        <v>304</v>
      </c>
      <c r="B322" s="368"/>
      <c r="C322" s="377" t="s">
        <v>84</v>
      </c>
      <c r="D322" s="369"/>
      <c r="E322" s="85" t="s">
        <v>177</v>
      </c>
      <c r="F322" s="49">
        <f>+F323+F324+F325+F326+F327+F328+F329</f>
        <v>0</v>
      </c>
      <c r="G322" s="50">
        <f t="shared" si="39"/>
        <v>1577.31</v>
      </c>
      <c r="H322" s="166">
        <f>+H323+H324+H325+H326+H327+H328+H329</f>
        <v>0</v>
      </c>
      <c r="I322" s="166">
        <f>+I323+I324+I325+I326+I327+I328+I329</f>
        <v>0</v>
      </c>
      <c r="J322" s="461">
        <f>+J323+J324+J325+J326+J327+J328+J329</f>
        <v>431.88</v>
      </c>
      <c r="K322" s="166">
        <f>+K323+K324+K325+K326+K327+K328+K329</f>
        <v>1145.43</v>
      </c>
      <c r="L322" s="218"/>
      <c r="M322" s="440"/>
      <c r="N322" s="218"/>
      <c r="O322" s="215"/>
      <c r="P322" s="217"/>
      <c r="Q322" s="216"/>
      <c r="R322" s="216"/>
      <c r="S322" s="217"/>
      <c r="T322" s="130"/>
      <c r="U322" s="123"/>
      <c r="V322" s="123"/>
      <c r="W322" s="123"/>
    </row>
    <row r="323" spans="1:23" ht="12.75">
      <c r="A323" s="367">
        <f t="shared" si="40"/>
        <v>305</v>
      </c>
      <c r="B323" s="368"/>
      <c r="C323" s="368"/>
      <c r="D323" s="379" t="s">
        <v>47</v>
      </c>
      <c r="E323" s="66" t="s">
        <v>178</v>
      </c>
      <c r="F323" s="416"/>
      <c r="G323" s="79">
        <f t="shared" si="39"/>
        <v>1167.69</v>
      </c>
      <c r="H323" s="462"/>
      <c r="I323" s="462"/>
      <c r="J323" s="463">
        <v>302.38</v>
      </c>
      <c r="K323" s="462">
        <f>864.88+0.43</f>
        <v>865.31</v>
      </c>
      <c r="L323" s="218">
        <v>1167.69</v>
      </c>
      <c r="M323" s="440"/>
      <c r="N323" s="218"/>
      <c r="O323" s="215"/>
      <c r="P323" s="217"/>
      <c r="Q323" s="216"/>
      <c r="R323" s="216"/>
      <c r="S323" s="217"/>
      <c r="T323" s="221"/>
      <c r="U323" s="123"/>
      <c r="V323" s="123"/>
      <c r="W323" s="123"/>
    </row>
    <row r="324" spans="1:23" ht="12.75">
      <c r="A324" s="367">
        <f t="shared" si="40"/>
        <v>306</v>
      </c>
      <c r="B324" s="368"/>
      <c r="C324" s="368"/>
      <c r="D324" s="379" t="s">
        <v>80</v>
      </c>
      <c r="E324" s="66" t="s">
        <v>179</v>
      </c>
      <c r="F324" s="416"/>
      <c r="G324" s="79">
        <f t="shared" si="39"/>
        <v>27.43</v>
      </c>
      <c r="H324" s="462"/>
      <c r="I324" s="462"/>
      <c r="J324" s="463">
        <v>7.06</v>
      </c>
      <c r="K324" s="462">
        <v>20.37</v>
      </c>
      <c r="L324" s="218">
        <v>27.44</v>
      </c>
      <c r="M324" s="440"/>
      <c r="N324" s="218"/>
      <c r="O324" s="215"/>
      <c r="P324" s="217"/>
      <c r="Q324" s="216"/>
      <c r="R324" s="216"/>
      <c r="S324" s="217"/>
      <c r="T324" s="221"/>
      <c r="U324" s="123"/>
      <c r="V324" s="123"/>
      <c r="W324" s="123"/>
    </row>
    <row r="325" spans="1:23" ht="12.75">
      <c r="A325" s="367">
        <f t="shared" si="40"/>
        <v>307</v>
      </c>
      <c r="B325" s="368"/>
      <c r="C325" s="368"/>
      <c r="D325" s="379" t="s">
        <v>84</v>
      </c>
      <c r="E325" s="66" t="s">
        <v>180</v>
      </c>
      <c r="F325" s="416"/>
      <c r="G325" s="79">
        <f t="shared" si="39"/>
        <v>285.84</v>
      </c>
      <c r="H325" s="462"/>
      <c r="I325" s="462"/>
      <c r="J325" s="463">
        <v>73.49</v>
      </c>
      <c r="K325" s="462">
        <v>212.35</v>
      </c>
      <c r="L325" s="218">
        <v>285.83</v>
      </c>
      <c r="M325" s="440"/>
      <c r="N325" s="218"/>
      <c r="O325" s="215"/>
      <c r="P325" s="217"/>
      <c r="Q325" s="216"/>
      <c r="R325" s="216"/>
      <c r="S325" s="217"/>
      <c r="T325" s="221"/>
      <c r="U325" s="123"/>
      <c r="V325" s="123"/>
      <c r="W325" s="123"/>
    </row>
    <row r="326" spans="1:23" ht="12.75">
      <c r="A326" s="367">
        <f t="shared" si="40"/>
        <v>308</v>
      </c>
      <c r="B326" s="368"/>
      <c r="C326" s="368"/>
      <c r="D326" s="379" t="s">
        <v>108</v>
      </c>
      <c r="E326" s="66" t="s">
        <v>269</v>
      </c>
      <c r="F326" s="416"/>
      <c r="G326" s="79">
        <f t="shared" si="39"/>
        <v>15.41</v>
      </c>
      <c r="H326" s="462"/>
      <c r="I326" s="462"/>
      <c r="J326" s="463">
        <v>4.98</v>
      </c>
      <c r="K326" s="462">
        <v>10.43</v>
      </c>
      <c r="L326" s="218">
        <v>15.41</v>
      </c>
      <c r="M326" s="440"/>
      <c r="N326" s="218"/>
      <c r="O326" s="215"/>
      <c r="P326" s="217"/>
      <c r="Q326" s="216"/>
      <c r="R326" s="216"/>
      <c r="S326" s="217"/>
      <c r="T326" s="221"/>
      <c r="U326" s="123"/>
      <c r="V326" s="123"/>
      <c r="W326" s="123"/>
    </row>
    <row r="327" spans="1:23" ht="12.75">
      <c r="A327" s="367">
        <f t="shared" si="40"/>
        <v>309</v>
      </c>
      <c r="B327" s="368"/>
      <c r="C327" s="368"/>
      <c r="D327" s="379" t="s">
        <v>41</v>
      </c>
      <c r="E327" s="66" t="s">
        <v>182</v>
      </c>
      <c r="F327" s="416"/>
      <c r="G327" s="79">
        <f t="shared" si="39"/>
        <v>0</v>
      </c>
      <c r="H327" s="462"/>
      <c r="I327" s="462"/>
      <c r="J327" s="463">
        <v>0</v>
      </c>
      <c r="K327" s="462">
        <v>0</v>
      </c>
      <c r="L327" s="218">
        <v>0</v>
      </c>
      <c r="M327" s="440"/>
      <c r="N327" s="218"/>
      <c r="O327" s="215"/>
      <c r="P327" s="217"/>
      <c r="Q327" s="216"/>
      <c r="R327" s="216"/>
      <c r="S327" s="217"/>
      <c r="T327" s="221"/>
      <c r="U327" s="123"/>
      <c r="V327" s="123"/>
      <c r="W327" s="123"/>
    </row>
    <row r="328" spans="1:23" ht="12.75">
      <c r="A328" s="367">
        <f t="shared" si="40"/>
        <v>310</v>
      </c>
      <c r="B328" s="368"/>
      <c r="C328" s="368"/>
      <c r="D328" s="379" t="s">
        <v>154</v>
      </c>
      <c r="E328" s="66" t="s">
        <v>183</v>
      </c>
      <c r="F328" s="416"/>
      <c r="G328" s="79">
        <f t="shared" si="39"/>
        <v>80.94</v>
      </c>
      <c r="H328" s="462"/>
      <c r="I328" s="462"/>
      <c r="J328" s="463">
        <v>43.97</v>
      </c>
      <c r="K328" s="462">
        <f>26.88+10.09</f>
        <v>36.97</v>
      </c>
      <c r="L328" s="218">
        <v>80.94</v>
      </c>
      <c r="M328" s="440"/>
      <c r="N328" s="218"/>
      <c r="O328" s="215"/>
      <c r="P328" s="217"/>
      <c r="Q328" s="216"/>
      <c r="R328" s="216"/>
      <c r="S328" s="217"/>
      <c r="T328" s="221"/>
      <c r="U328" s="123"/>
      <c r="V328" s="123"/>
      <c r="W328" s="123"/>
    </row>
    <row r="329" spans="1:23" ht="12.75">
      <c r="A329" s="367">
        <f t="shared" si="40"/>
        <v>311</v>
      </c>
      <c r="B329" s="368"/>
      <c r="C329" s="368"/>
      <c r="D329" s="379" t="s">
        <v>157</v>
      </c>
      <c r="E329" s="66" t="s">
        <v>184</v>
      </c>
      <c r="F329" s="416"/>
      <c r="G329" s="79">
        <f t="shared" si="39"/>
        <v>0</v>
      </c>
      <c r="H329" s="462"/>
      <c r="I329" s="462"/>
      <c r="J329" s="463">
        <v>0</v>
      </c>
      <c r="K329" s="462">
        <v>0</v>
      </c>
      <c r="L329" s="218">
        <v>0</v>
      </c>
      <c r="M329" s="440"/>
      <c r="N329" s="218"/>
      <c r="O329" s="215"/>
      <c r="P329" s="217"/>
      <c r="Q329" s="216"/>
      <c r="R329" s="216"/>
      <c r="S329" s="217"/>
      <c r="T329" s="221"/>
      <c r="U329" s="123"/>
      <c r="V329" s="123"/>
      <c r="W329" s="123"/>
    </row>
    <row r="330" spans="1:23" ht="12.75">
      <c r="A330" s="367">
        <f t="shared" si="40"/>
        <v>312</v>
      </c>
      <c r="B330" s="368">
        <v>20</v>
      </c>
      <c r="C330" s="368"/>
      <c r="D330" s="86"/>
      <c r="E330" s="85" t="s">
        <v>287</v>
      </c>
      <c r="F330" s="49">
        <f>+F331+F342+F343+F346+F351+F355+F358+F359+F360+F361+F362+F363+F364+F366</f>
        <v>0</v>
      </c>
      <c r="G330" s="50">
        <f t="shared" si="39"/>
        <v>1920.6000000000001</v>
      </c>
      <c r="H330" s="166">
        <f>+H331+H342+H343+H346+H351+H355+H358+H359+H360+H361+H362+H363+H364+H366</f>
        <v>0</v>
      </c>
      <c r="I330" s="166">
        <f>+I331+I342+I343+I346+I351+I355+I358+I359+I360+I361+I362+I363+I364+I366</f>
        <v>229</v>
      </c>
      <c r="J330" s="461">
        <f>+J331+J342+J343+J346+J351+J355+J358+J359+J360+J361+J362+J363+J364+J366</f>
        <v>619</v>
      </c>
      <c r="K330" s="166">
        <f>+K331+K342+K343+K346+K351+K355+K358+K359+K360+K361+K362+K363+K364+K366</f>
        <v>1072.6000000000001</v>
      </c>
      <c r="L330" s="218"/>
      <c r="M330" s="440"/>
      <c r="N330" s="218"/>
      <c r="O330" s="215"/>
      <c r="P330" s="217"/>
      <c r="Q330" s="216"/>
      <c r="R330" s="216"/>
      <c r="S330" s="217"/>
      <c r="T330" s="99"/>
      <c r="U330" s="123"/>
      <c r="V330" s="123"/>
      <c r="W330" s="123"/>
    </row>
    <row r="331" spans="1:23" ht="12.75">
      <c r="A331" s="367">
        <f t="shared" si="40"/>
        <v>313</v>
      </c>
      <c r="B331" s="368"/>
      <c r="C331" s="377" t="s">
        <v>47</v>
      </c>
      <c r="D331" s="369"/>
      <c r="E331" s="85" t="s">
        <v>130</v>
      </c>
      <c r="F331" s="49">
        <f>+F332+F333+F334+F335+F336+F337+F338+F339+F340+F341</f>
        <v>0</v>
      </c>
      <c r="G331" s="50">
        <f t="shared" si="39"/>
        <v>777.99</v>
      </c>
      <c r="H331" s="166">
        <f>+H332+H333+H334+H335+H336+H337+H338+H339+H340+H341</f>
        <v>0</v>
      </c>
      <c r="I331" s="166">
        <f>+I332+I333+I334+I335+I336+I337+I338+I339+I340+I341</f>
        <v>0</v>
      </c>
      <c r="J331" s="461">
        <f>+J332+J333+J334+J335+J336+J337+J338+J339+J340+J341</f>
        <v>452</v>
      </c>
      <c r="K331" s="166">
        <f>+K332+K333+K334+K335+K336+K337+K338+K339+K340+K341</f>
        <v>325.99</v>
      </c>
      <c r="L331" s="218"/>
      <c r="M331" s="440"/>
      <c r="N331" s="218"/>
      <c r="O331" s="215"/>
      <c r="P331" s="217"/>
      <c r="Q331" s="216"/>
      <c r="R331" s="216"/>
      <c r="S331" s="217"/>
      <c r="T331" s="130"/>
      <c r="U331" s="123"/>
      <c r="V331" s="123"/>
      <c r="W331" s="123"/>
    </row>
    <row r="332" spans="1:23" ht="12.75">
      <c r="A332" s="367">
        <f t="shared" si="40"/>
        <v>314</v>
      </c>
      <c r="B332" s="368"/>
      <c r="C332" s="368"/>
      <c r="D332" s="379" t="s">
        <v>47</v>
      </c>
      <c r="E332" s="66" t="s">
        <v>186</v>
      </c>
      <c r="F332" s="416"/>
      <c r="G332" s="79">
        <f t="shared" si="39"/>
        <v>7.33</v>
      </c>
      <c r="H332" s="462"/>
      <c r="I332" s="462"/>
      <c r="J332" s="463">
        <v>0</v>
      </c>
      <c r="K332" s="462">
        <v>7.33</v>
      </c>
      <c r="L332" s="218">
        <v>7.33</v>
      </c>
      <c r="M332" s="440"/>
      <c r="N332" s="218"/>
      <c r="O332" s="215"/>
      <c r="P332" s="217"/>
      <c r="Q332" s="216"/>
      <c r="R332" s="216"/>
      <c r="S332" s="217"/>
      <c r="T332" s="221"/>
      <c r="U332" s="123"/>
      <c r="V332" s="123"/>
      <c r="W332" s="123"/>
    </row>
    <row r="333" spans="1:23" ht="12.75">
      <c r="A333" s="367">
        <f t="shared" si="40"/>
        <v>315</v>
      </c>
      <c r="B333" s="368"/>
      <c r="C333" s="368"/>
      <c r="D333" s="379" t="s">
        <v>80</v>
      </c>
      <c r="E333" s="66" t="s">
        <v>187</v>
      </c>
      <c r="F333" s="416"/>
      <c r="G333" s="79">
        <f t="shared" si="39"/>
        <v>46.76</v>
      </c>
      <c r="H333" s="462"/>
      <c r="I333" s="462"/>
      <c r="J333" s="463">
        <v>13</v>
      </c>
      <c r="K333" s="462">
        <v>33.76</v>
      </c>
      <c r="L333" s="218">
        <v>46.76</v>
      </c>
      <c r="M333" s="440"/>
      <c r="N333" s="218"/>
      <c r="O333" s="215"/>
      <c r="P333" s="217"/>
      <c r="Q333" s="216"/>
      <c r="R333" s="216"/>
      <c r="S333" s="217"/>
      <c r="T333" s="221"/>
      <c r="U333" s="123"/>
      <c r="V333" s="123"/>
      <c r="W333" s="123"/>
    </row>
    <row r="334" spans="1:23" ht="12.75">
      <c r="A334" s="367">
        <f t="shared" si="40"/>
        <v>316</v>
      </c>
      <c r="B334" s="368"/>
      <c r="C334" s="368"/>
      <c r="D334" s="379" t="s">
        <v>84</v>
      </c>
      <c r="E334" s="66" t="s">
        <v>188</v>
      </c>
      <c r="F334" s="416"/>
      <c r="G334" s="79">
        <f t="shared" si="39"/>
        <v>0.29</v>
      </c>
      <c r="H334" s="462"/>
      <c r="I334" s="462"/>
      <c r="J334" s="463">
        <v>0</v>
      </c>
      <c r="K334" s="462">
        <v>0.29</v>
      </c>
      <c r="L334" s="218">
        <v>0.29</v>
      </c>
      <c r="M334" s="440"/>
      <c r="N334" s="218"/>
      <c r="O334" s="215"/>
      <c r="P334" s="217"/>
      <c r="Q334" s="216"/>
      <c r="R334" s="216"/>
      <c r="S334" s="217"/>
      <c r="T334" s="221"/>
      <c r="U334" s="123"/>
      <c r="V334" s="123"/>
      <c r="W334" s="123"/>
    </row>
    <row r="335" spans="1:23" ht="12.75">
      <c r="A335" s="367">
        <f t="shared" si="40"/>
        <v>317</v>
      </c>
      <c r="B335" s="368"/>
      <c r="C335" s="368"/>
      <c r="D335" s="379" t="s">
        <v>108</v>
      </c>
      <c r="E335" s="66" t="s">
        <v>189</v>
      </c>
      <c r="F335" s="416"/>
      <c r="G335" s="79">
        <f t="shared" si="39"/>
        <v>0</v>
      </c>
      <c r="H335" s="462"/>
      <c r="I335" s="462"/>
      <c r="J335" s="463">
        <v>0</v>
      </c>
      <c r="K335" s="462">
        <v>0</v>
      </c>
      <c r="L335" s="218"/>
      <c r="M335" s="440"/>
      <c r="N335" s="218"/>
      <c r="O335" s="215"/>
      <c r="P335" s="217"/>
      <c r="Q335" s="216"/>
      <c r="R335" s="216"/>
      <c r="S335" s="217"/>
      <c r="T335" s="221"/>
      <c r="U335" s="123"/>
      <c r="V335" s="123"/>
      <c r="W335" s="123"/>
    </row>
    <row r="336" spans="1:23" ht="12.75">
      <c r="A336" s="367">
        <f t="shared" si="40"/>
        <v>318</v>
      </c>
      <c r="B336" s="368"/>
      <c r="C336" s="368"/>
      <c r="D336" s="379" t="s">
        <v>41</v>
      </c>
      <c r="E336" s="66" t="s">
        <v>190</v>
      </c>
      <c r="F336" s="416"/>
      <c r="G336" s="79">
        <f t="shared" si="39"/>
        <v>0</v>
      </c>
      <c r="H336" s="462"/>
      <c r="I336" s="462"/>
      <c r="J336" s="463">
        <v>0</v>
      </c>
      <c r="K336" s="462">
        <v>0</v>
      </c>
      <c r="L336" s="218"/>
      <c r="M336" s="440"/>
      <c r="N336" s="218"/>
      <c r="O336" s="215"/>
      <c r="P336" s="217"/>
      <c r="Q336" s="216"/>
      <c r="R336" s="216"/>
      <c r="S336" s="217"/>
      <c r="T336" s="221"/>
      <c r="U336" s="123"/>
      <c r="V336" s="123"/>
      <c r="W336" s="123"/>
    </row>
    <row r="337" spans="1:23" ht="12.75">
      <c r="A337" s="367">
        <f t="shared" si="40"/>
        <v>319</v>
      </c>
      <c r="B337" s="368"/>
      <c r="C337" s="368"/>
      <c r="D337" s="379" t="s">
        <v>154</v>
      </c>
      <c r="E337" s="66" t="s">
        <v>191</v>
      </c>
      <c r="F337" s="416"/>
      <c r="G337" s="79">
        <f t="shared" si="39"/>
        <v>130.94</v>
      </c>
      <c r="H337" s="462"/>
      <c r="I337" s="462"/>
      <c r="J337" s="463">
        <v>21</v>
      </c>
      <c r="K337" s="462">
        <v>109.94</v>
      </c>
      <c r="L337" s="218">
        <v>130.52</v>
      </c>
      <c r="M337" s="440"/>
      <c r="N337" s="218"/>
      <c r="O337" s="215"/>
      <c r="P337" s="217"/>
      <c r="Q337" s="216"/>
      <c r="R337" s="216"/>
      <c r="S337" s="217"/>
      <c r="T337" s="221"/>
      <c r="U337" s="123"/>
      <c r="V337" s="123"/>
      <c r="W337" s="123"/>
    </row>
    <row r="338" spans="1:23" ht="12.75">
      <c r="A338" s="367">
        <f t="shared" si="40"/>
        <v>320</v>
      </c>
      <c r="B338" s="368"/>
      <c r="C338" s="368"/>
      <c r="D338" s="379" t="s">
        <v>157</v>
      </c>
      <c r="E338" s="66" t="s">
        <v>192</v>
      </c>
      <c r="F338" s="416"/>
      <c r="G338" s="79">
        <f t="shared" si="39"/>
        <v>0</v>
      </c>
      <c r="H338" s="462"/>
      <c r="I338" s="462"/>
      <c r="J338" s="463">
        <v>0</v>
      </c>
      <c r="K338" s="462">
        <v>0</v>
      </c>
      <c r="L338" s="218"/>
      <c r="M338" s="440"/>
      <c r="N338" s="218"/>
      <c r="O338" s="215"/>
      <c r="P338" s="217"/>
      <c r="Q338" s="216"/>
      <c r="R338" s="216"/>
      <c r="S338" s="217"/>
      <c r="T338" s="221"/>
      <c r="U338" s="123"/>
      <c r="V338" s="123"/>
      <c r="W338" s="123"/>
    </row>
    <row r="339" spans="1:23" ht="12.75">
      <c r="A339" s="367">
        <f t="shared" si="40"/>
        <v>321</v>
      </c>
      <c r="B339" s="368"/>
      <c r="C339" s="368"/>
      <c r="D339" s="379" t="s">
        <v>65</v>
      </c>
      <c r="E339" s="66" t="s">
        <v>193</v>
      </c>
      <c r="F339" s="416"/>
      <c r="G339" s="79">
        <f t="shared" si="39"/>
        <v>0</v>
      </c>
      <c r="H339" s="462"/>
      <c r="I339" s="462"/>
      <c r="J339" s="463">
        <v>0</v>
      </c>
      <c r="K339" s="462">
        <v>0</v>
      </c>
      <c r="L339" s="218"/>
      <c r="M339" s="440"/>
      <c r="N339" s="218"/>
      <c r="O339" s="215"/>
      <c r="P339" s="217"/>
      <c r="Q339" s="216"/>
      <c r="R339" s="216"/>
      <c r="S339" s="217"/>
      <c r="T339" s="221"/>
      <c r="U339" s="123"/>
      <c r="V339" s="123"/>
      <c r="W339" s="123"/>
    </row>
    <row r="340" spans="1:23" ht="12.75">
      <c r="A340" s="367">
        <f t="shared" si="40"/>
        <v>322</v>
      </c>
      <c r="B340" s="368"/>
      <c r="C340" s="368"/>
      <c r="D340" s="379" t="s">
        <v>160</v>
      </c>
      <c r="E340" s="66" t="s">
        <v>194</v>
      </c>
      <c r="F340" s="416"/>
      <c r="G340" s="79">
        <f t="shared" si="39"/>
        <v>14.88</v>
      </c>
      <c r="H340" s="462"/>
      <c r="I340" s="462"/>
      <c r="J340" s="463">
        <v>1</v>
      </c>
      <c r="K340" s="462">
        <v>13.88</v>
      </c>
      <c r="L340" s="218">
        <v>14.88</v>
      </c>
      <c r="M340" s="440"/>
      <c r="N340" s="218"/>
      <c r="O340" s="215"/>
      <c r="P340" s="217"/>
      <c r="Q340" s="216"/>
      <c r="R340" s="216"/>
      <c r="S340" s="217"/>
      <c r="T340" s="221"/>
      <c r="U340" s="123"/>
      <c r="V340" s="123"/>
      <c r="W340" s="123"/>
    </row>
    <row r="341" spans="1:23" ht="12.75">
      <c r="A341" s="367">
        <f t="shared" si="40"/>
        <v>323</v>
      </c>
      <c r="B341" s="368"/>
      <c r="C341" s="368"/>
      <c r="D341" s="369">
        <v>30</v>
      </c>
      <c r="E341" s="66" t="s">
        <v>271</v>
      </c>
      <c r="F341" s="416"/>
      <c r="G341" s="79">
        <f t="shared" si="39"/>
        <v>577.79</v>
      </c>
      <c r="H341" s="462"/>
      <c r="I341" s="462"/>
      <c r="J341" s="463">
        <v>417</v>
      </c>
      <c r="K341" s="462">
        <v>160.79</v>
      </c>
      <c r="L341" s="218">
        <v>577.79</v>
      </c>
      <c r="M341" s="440"/>
      <c r="N341" s="218"/>
      <c r="O341" s="215"/>
      <c r="P341" s="217"/>
      <c r="Q341" s="216"/>
      <c r="R341" s="216"/>
      <c r="S341" s="217"/>
      <c r="T341" s="130"/>
      <c r="U341" s="123"/>
      <c r="V341" s="123"/>
      <c r="W341" s="123"/>
    </row>
    <row r="342" spans="1:23" ht="12.75">
      <c r="A342" s="367">
        <f t="shared" si="40"/>
        <v>324</v>
      </c>
      <c r="B342" s="368"/>
      <c r="C342" s="377" t="s">
        <v>80</v>
      </c>
      <c r="D342" s="86"/>
      <c r="E342" s="59" t="s">
        <v>196</v>
      </c>
      <c r="F342" s="416"/>
      <c r="G342" s="79">
        <f t="shared" si="39"/>
        <v>0.18</v>
      </c>
      <c r="H342" s="77"/>
      <c r="I342" s="77"/>
      <c r="J342" s="464">
        <v>0</v>
      </c>
      <c r="K342" s="77">
        <v>0.18</v>
      </c>
      <c r="L342" s="218">
        <v>0.18</v>
      </c>
      <c r="M342" s="440"/>
      <c r="N342" s="218"/>
      <c r="O342" s="215"/>
      <c r="P342" s="217"/>
      <c r="Q342" s="216"/>
      <c r="R342" s="216"/>
      <c r="S342" s="217"/>
      <c r="T342" s="99"/>
      <c r="U342" s="123"/>
      <c r="V342" s="123"/>
      <c r="W342" s="123"/>
    </row>
    <row r="343" spans="1:23" ht="12.75">
      <c r="A343" s="367">
        <f t="shared" si="40"/>
        <v>325</v>
      </c>
      <c r="B343" s="368"/>
      <c r="C343" s="377" t="s">
        <v>84</v>
      </c>
      <c r="D343" s="86"/>
      <c r="E343" s="59" t="s">
        <v>197</v>
      </c>
      <c r="F343" s="49">
        <f>+F344+F345</f>
        <v>0</v>
      </c>
      <c r="G343" s="50">
        <f t="shared" si="39"/>
        <v>0</v>
      </c>
      <c r="H343" s="166">
        <f>+H344+H345</f>
        <v>0</v>
      </c>
      <c r="I343" s="166">
        <f>+I344+I345</f>
        <v>0</v>
      </c>
      <c r="J343" s="461">
        <f>+J344+J345</f>
        <v>0</v>
      </c>
      <c r="K343" s="166">
        <f>+K344+K345</f>
        <v>0</v>
      </c>
      <c r="L343" s="218"/>
      <c r="M343" s="440"/>
      <c r="N343" s="218"/>
      <c r="O343" s="215"/>
      <c r="P343" s="217"/>
      <c r="Q343" s="216"/>
      <c r="R343" s="216"/>
      <c r="S343" s="217"/>
      <c r="T343" s="99"/>
      <c r="U343" s="123"/>
      <c r="V343" s="123"/>
      <c r="W343" s="123"/>
    </row>
    <row r="344" spans="1:23" ht="12.75">
      <c r="A344" s="367">
        <f t="shared" si="40"/>
        <v>326</v>
      </c>
      <c r="B344" s="368"/>
      <c r="C344" s="368"/>
      <c r="D344" s="379" t="s">
        <v>47</v>
      </c>
      <c r="E344" s="66" t="s">
        <v>198</v>
      </c>
      <c r="F344" s="416"/>
      <c r="G344" s="79">
        <f t="shared" si="39"/>
        <v>0</v>
      </c>
      <c r="H344" s="77"/>
      <c r="I344" s="77">
        <v>0</v>
      </c>
      <c r="J344" s="464">
        <v>0</v>
      </c>
      <c r="K344" s="77">
        <v>0</v>
      </c>
      <c r="L344" s="218"/>
      <c r="M344" s="440"/>
      <c r="N344" s="218"/>
      <c r="O344" s="215"/>
      <c r="P344" s="217"/>
      <c r="Q344" s="216"/>
      <c r="R344" s="216"/>
      <c r="S344" s="217"/>
      <c r="T344" s="221"/>
      <c r="U344" s="123"/>
      <c r="V344" s="123"/>
      <c r="W344" s="123"/>
    </row>
    <row r="345" spans="1:23" ht="12.75">
      <c r="A345" s="367">
        <f t="shared" si="40"/>
        <v>327</v>
      </c>
      <c r="B345" s="368"/>
      <c r="C345" s="368"/>
      <c r="D345" s="379" t="s">
        <v>80</v>
      </c>
      <c r="E345" s="66" t="s">
        <v>199</v>
      </c>
      <c r="F345" s="375"/>
      <c r="G345" s="79">
        <f t="shared" si="39"/>
        <v>0</v>
      </c>
      <c r="H345" s="77"/>
      <c r="I345" s="77">
        <v>0</v>
      </c>
      <c r="J345" s="464">
        <v>0</v>
      </c>
      <c r="K345" s="77">
        <v>0</v>
      </c>
      <c r="L345" s="218"/>
      <c r="M345" s="440"/>
      <c r="N345" s="218"/>
      <c r="O345" s="215"/>
      <c r="P345" s="217"/>
      <c r="Q345" s="216"/>
      <c r="R345" s="216"/>
      <c r="S345" s="217"/>
      <c r="T345" s="221"/>
      <c r="U345" s="123"/>
      <c r="V345" s="123"/>
      <c r="W345" s="123"/>
    </row>
    <row r="346" spans="1:23" ht="12.75">
      <c r="A346" s="367">
        <f t="shared" si="40"/>
        <v>328</v>
      </c>
      <c r="B346" s="368"/>
      <c r="C346" s="377" t="s">
        <v>108</v>
      </c>
      <c r="D346" s="369"/>
      <c r="E346" s="59" t="s">
        <v>200</v>
      </c>
      <c r="F346" s="49">
        <f>+F347+F348+F349+F350</f>
        <v>0</v>
      </c>
      <c r="G346" s="50">
        <f t="shared" si="39"/>
        <v>1136.67</v>
      </c>
      <c r="H346" s="166">
        <f>+H347+H348+H349+H350</f>
        <v>0</v>
      </c>
      <c r="I346" s="166">
        <f>+I347+I348+I349+I350</f>
        <v>229</v>
      </c>
      <c r="J346" s="461">
        <f>+J347+J348+J349+J350</f>
        <v>164</v>
      </c>
      <c r="K346" s="166">
        <f>+K347+K348+K349+K350</f>
        <v>743.6700000000001</v>
      </c>
      <c r="L346" s="218"/>
      <c r="M346" s="440"/>
      <c r="N346" s="218"/>
      <c r="O346" s="215"/>
      <c r="P346" s="217"/>
      <c r="Q346" s="216"/>
      <c r="R346" s="216"/>
      <c r="S346" s="217"/>
      <c r="T346" s="130"/>
      <c r="U346" s="123"/>
      <c r="V346" s="123"/>
      <c r="W346" s="123"/>
    </row>
    <row r="347" spans="1:23" ht="12.75">
      <c r="A347" s="367">
        <f t="shared" si="40"/>
        <v>329</v>
      </c>
      <c r="B347" s="368"/>
      <c r="C347" s="368"/>
      <c r="D347" s="379" t="s">
        <v>47</v>
      </c>
      <c r="E347" s="66" t="s">
        <v>201</v>
      </c>
      <c r="F347" s="416"/>
      <c r="G347" s="79">
        <f t="shared" si="39"/>
        <v>662.45</v>
      </c>
      <c r="H347" s="77"/>
      <c r="I347" s="77">
        <v>100</v>
      </c>
      <c r="J347" s="464">
        <v>63</v>
      </c>
      <c r="K347" s="77">
        <f>499.29+0.16</f>
        <v>499.45000000000005</v>
      </c>
      <c r="L347" s="218">
        <v>662.29</v>
      </c>
      <c r="M347" s="440"/>
      <c r="N347" s="218"/>
      <c r="O347" s="215"/>
      <c r="P347" s="217"/>
      <c r="Q347" s="216"/>
      <c r="R347" s="216"/>
      <c r="S347" s="217"/>
      <c r="T347" s="221"/>
      <c r="U347" s="123"/>
      <c r="V347" s="123"/>
      <c r="W347" s="123"/>
    </row>
    <row r="348" spans="1:23" ht="12.75">
      <c r="A348" s="367">
        <f t="shared" si="40"/>
        <v>330</v>
      </c>
      <c r="B348" s="368"/>
      <c r="C348" s="368"/>
      <c r="D348" s="379" t="s">
        <v>80</v>
      </c>
      <c r="E348" s="66" t="s">
        <v>202</v>
      </c>
      <c r="F348" s="416"/>
      <c r="G348" s="79">
        <f t="shared" si="39"/>
        <v>351.86</v>
      </c>
      <c r="H348" s="77"/>
      <c r="I348" s="77">
        <v>100</v>
      </c>
      <c r="J348" s="464">
        <v>20</v>
      </c>
      <c r="K348" s="77">
        <v>231.86</v>
      </c>
      <c r="L348" s="218">
        <v>351.76</v>
      </c>
      <c r="M348" s="440"/>
      <c r="N348" s="218"/>
      <c r="O348" s="215"/>
      <c r="P348" s="217"/>
      <c r="Q348" s="216"/>
      <c r="R348" s="216"/>
      <c r="S348" s="217"/>
      <c r="T348" s="221"/>
      <c r="U348" s="123"/>
      <c r="V348" s="123"/>
      <c r="W348" s="123"/>
    </row>
    <row r="349" spans="1:23" ht="12.75">
      <c r="A349" s="367">
        <f t="shared" si="40"/>
        <v>331</v>
      </c>
      <c r="B349" s="368"/>
      <c r="C349" s="368"/>
      <c r="D349" s="379" t="s">
        <v>84</v>
      </c>
      <c r="E349" s="66" t="s">
        <v>203</v>
      </c>
      <c r="F349" s="416"/>
      <c r="G349" s="79">
        <f t="shared" si="39"/>
        <v>122.36</v>
      </c>
      <c r="H349" s="77"/>
      <c r="I349" s="77">
        <v>29</v>
      </c>
      <c r="J349" s="464">
        <v>81</v>
      </c>
      <c r="K349" s="77">
        <f>11.49+1.54-0.67</f>
        <v>12.360000000000001</v>
      </c>
      <c r="L349" s="218">
        <v>121.49</v>
      </c>
      <c r="M349" s="440"/>
      <c r="N349" s="218"/>
      <c r="O349" s="215"/>
      <c r="P349" s="217"/>
      <c r="Q349" s="216"/>
      <c r="R349" s="216"/>
      <c r="S349" s="217"/>
      <c r="T349" s="221"/>
      <c r="U349" s="123"/>
      <c r="V349" s="123"/>
      <c r="W349" s="123"/>
    </row>
    <row r="350" spans="1:23" ht="12.75">
      <c r="A350" s="367">
        <f t="shared" si="40"/>
        <v>332</v>
      </c>
      <c r="B350" s="368"/>
      <c r="C350" s="368"/>
      <c r="D350" s="379" t="s">
        <v>108</v>
      </c>
      <c r="E350" s="66" t="s">
        <v>204</v>
      </c>
      <c r="F350" s="416"/>
      <c r="G350" s="79">
        <f t="shared" si="39"/>
        <v>0</v>
      </c>
      <c r="H350" s="77"/>
      <c r="I350" s="77"/>
      <c r="J350" s="464">
        <v>0</v>
      </c>
      <c r="K350" s="77">
        <v>0</v>
      </c>
      <c r="L350" s="218"/>
      <c r="M350" s="440"/>
      <c r="N350" s="218"/>
      <c r="O350" s="215"/>
      <c r="P350" s="217"/>
      <c r="Q350" s="216"/>
      <c r="R350" s="216"/>
      <c r="S350" s="217"/>
      <c r="T350" s="221"/>
      <c r="U350" s="123"/>
      <c r="V350" s="123"/>
      <c r="W350" s="123"/>
    </row>
    <row r="351" spans="1:23" ht="12.75">
      <c r="A351" s="367">
        <f t="shared" si="40"/>
        <v>333</v>
      </c>
      <c r="B351" s="368"/>
      <c r="C351" s="377" t="s">
        <v>41</v>
      </c>
      <c r="D351" s="369"/>
      <c r="E351" s="85" t="s">
        <v>205</v>
      </c>
      <c r="F351" s="49">
        <f>+F352+F353+F354</f>
        <v>0</v>
      </c>
      <c r="G351" s="50">
        <f t="shared" si="39"/>
        <v>5.76</v>
      </c>
      <c r="H351" s="166">
        <f>+H352+H353+H354</f>
        <v>0</v>
      </c>
      <c r="I351" s="166">
        <f>+I352+I353+I354</f>
        <v>0</v>
      </c>
      <c r="J351" s="461">
        <f>+J352+J353+J354</f>
        <v>3</v>
      </c>
      <c r="K351" s="166">
        <f>+K352+K353+K354</f>
        <v>2.76</v>
      </c>
      <c r="L351" s="218"/>
      <c r="M351" s="440"/>
      <c r="N351" s="218"/>
      <c r="O351" s="215"/>
      <c r="P351" s="217"/>
      <c r="Q351" s="216"/>
      <c r="R351" s="216"/>
      <c r="S351" s="217"/>
      <c r="T351" s="130"/>
      <c r="U351" s="123"/>
      <c r="V351" s="123"/>
      <c r="W351" s="123"/>
    </row>
    <row r="352" spans="1:23" ht="12.75">
      <c r="A352" s="367">
        <f t="shared" si="40"/>
        <v>334</v>
      </c>
      <c r="B352" s="368"/>
      <c r="C352" s="368"/>
      <c r="D352" s="379" t="s">
        <v>47</v>
      </c>
      <c r="E352" s="66" t="s">
        <v>206</v>
      </c>
      <c r="F352" s="416"/>
      <c r="G352" s="79">
        <f t="shared" si="39"/>
        <v>0</v>
      </c>
      <c r="H352" s="462">
        <v>0</v>
      </c>
      <c r="I352" s="462">
        <v>0</v>
      </c>
      <c r="J352" s="463">
        <v>0</v>
      </c>
      <c r="K352" s="462">
        <v>0</v>
      </c>
      <c r="L352" s="218"/>
      <c r="M352" s="440"/>
      <c r="N352" s="218"/>
      <c r="O352" s="215"/>
      <c r="P352" s="217"/>
      <c r="Q352" s="216"/>
      <c r="R352" s="216"/>
      <c r="S352" s="217"/>
      <c r="T352" s="221"/>
      <c r="U352" s="123"/>
      <c r="V352" s="123"/>
      <c r="W352" s="123"/>
    </row>
    <row r="353" spans="1:23" ht="12.75">
      <c r="A353" s="367">
        <f t="shared" si="40"/>
        <v>335</v>
      </c>
      <c r="B353" s="368"/>
      <c r="C353" s="368"/>
      <c r="D353" s="379" t="s">
        <v>84</v>
      </c>
      <c r="E353" s="66" t="s">
        <v>207</v>
      </c>
      <c r="F353" s="416"/>
      <c r="G353" s="79">
        <f t="shared" si="39"/>
        <v>0</v>
      </c>
      <c r="H353" s="462">
        <v>0</v>
      </c>
      <c r="I353" s="462"/>
      <c r="J353" s="463"/>
      <c r="K353" s="462">
        <v>0</v>
      </c>
      <c r="L353" s="218"/>
      <c r="M353" s="440"/>
      <c r="N353" s="218"/>
      <c r="O353" s="215"/>
      <c r="P353" s="217"/>
      <c r="Q353" s="216"/>
      <c r="R353" s="216"/>
      <c r="S353" s="217"/>
      <c r="T353" s="221"/>
      <c r="U353" s="123"/>
      <c r="V353" s="123"/>
      <c r="W353" s="123"/>
    </row>
    <row r="354" spans="1:23" ht="12.75">
      <c r="A354" s="367">
        <f t="shared" si="40"/>
        <v>336</v>
      </c>
      <c r="B354" s="368"/>
      <c r="C354" s="368"/>
      <c r="D354" s="369">
        <v>30</v>
      </c>
      <c r="E354" s="66" t="s">
        <v>208</v>
      </c>
      <c r="F354" s="416"/>
      <c r="G354" s="79">
        <f t="shared" si="39"/>
        <v>5.76</v>
      </c>
      <c r="H354" s="462">
        <v>0</v>
      </c>
      <c r="I354" s="462"/>
      <c r="J354" s="463">
        <v>3</v>
      </c>
      <c r="K354" s="462">
        <v>2.76</v>
      </c>
      <c r="L354" s="218">
        <v>5.76</v>
      </c>
      <c r="M354" s="440"/>
      <c r="N354" s="218"/>
      <c r="O354" s="215"/>
      <c r="P354" s="217"/>
      <c r="Q354" s="216"/>
      <c r="R354" s="216"/>
      <c r="S354" s="217"/>
      <c r="T354" s="130"/>
      <c r="U354" s="123"/>
      <c r="V354" s="123"/>
      <c r="W354" s="123"/>
    </row>
    <row r="355" spans="1:23" ht="12.75">
      <c r="A355" s="367">
        <f t="shared" si="40"/>
        <v>337</v>
      </c>
      <c r="B355" s="368"/>
      <c r="C355" s="377" t="s">
        <v>154</v>
      </c>
      <c r="D355" s="369"/>
      <c r="E355" s="59" t="s">
        <v>209</v>
      </c>
      <c r="F355" s="49">
        <f>+F356+F357</f>
        <v>0</v>
      </c>
      <c r="G355" s="50">
        <f t="shared" si="39"/>
        <v>0</v>
      </c>
      <c r="H355" s="166">
        <f>+H356+H357</f>
        <v>0</v>
      </c>
      <c r="I355" s="166">
        <f>+I356+I357</f>
        <v>0</v>
      </c>
      <c r="J355" s="461">
        <f>+J356+J357</f>
        <v>0</v>
      </c>
      <c r="K355" s="166">
        <f>+K356+K357</f>
        <v>0</v>
      </c>
      <c r="L355" s="218"/>
      <c r="M355" s="118"/>
      <c r="N355" s="218"/>
      <c r="O355" s="217"/>
      <c r="P355" s="217"/>
      <c r="Q355" s="218"/>
      <c r="R355" s="216"/>
      <c r="S355" s="217"/>
      <c r="T355" s="130"/>
      <c r="U355" s="123"/>
      <c r="V355" s="123"/>
      <c r="W355" s="123"/>
    </row>
    <row r="356" spans="1:23" ht="12.75">
      <c r="A356" s="367">
        <f t="shared" si="40"/>
        <v>338</v>
      </c>
      <c r="B356" s="368"/>
      <c r="C356" s="368"/>
      <c r="D356" s="379" t="s">
        <v>47</v>
      </c>
      <c r="E356" s="78" t="s">
        <v>272</v>
      </c>
      <c r="F356" s="416"/>
      <c r="G356" s="417">
        <f t="shared" si="39"/>
        <v>0</v>
      </c>
      <c r="H356" s="77">
        <v>0</v>
      </c>
      <c r="I356" s="77">
        <v>0</v>
      </c>
      <c r="J356" s="464">
        <v>0</v>
      </c>
      <c r="K356" s="77">
        <v>0</v>
      </c>
      <c r="L356" s="218"/>
      <c r="M356" s="218"/>
      <c r="N356" s="218"/>
      <c r="O356" s="217"/>
      <c r="P356" s="217"/>
      <c r="Q356" s="218"/>
      <c r="R356" s="218"/>
      <c r="S356" s="219"/>
      <c r="T356" s="221"/>
      <c r="U356" s="123"/>
      <c r="V356" s="123"/>
      <c r="W356" s="123"/>
    </row>
    <row r="357" spans="1:23" ht="12.75">
      <c r="A357" s="367">
        <f t="shared" si="40"/>
        <v>339</v>
      </c>
      <c r="B357" s="368"/>
      <c r="C357" s="368"/>
      <c r="D357" s="379" t="s">
        <v>80</v>
      </c>
      <c r="E357" s="66" t="s">
        <v>211</v>
      </c>
      <c r="F357" s="416"/>
      <c r="G357" s="79">
        <f t="shared" si="39"/>
        <v>0</v>
      </c>
      <c r="H357" s="77">
        <v>0</v>
      </c>
      <c r="I357" s="77">
        <v>0</v>
      </c>
      <c r="J357" s="464">
        <v>0</v>
      </c>
      <c r="K357" s="77">
        <v>0</v>
      </c>
      <c r="L357" s="218"/>
      <c r="M357" s="218"/>
      <c r="N357" s="218"/>
      <c r="O357" s="123"/>
      <c r="P357" s="123"/>
      <c r="Q357" s="218"/>
      <c r="R357" s="218"/>
      <c r="S357" s="219"/>
      <c r="T357" s="221"/>
      <c r="U357" s="123"/>
      <c r="V357" s="123"/>
      <c r="W357" s="123"/>
    </row>
    <row r="358" spans="1:23" ht="12.75">
      <c r="A358" s="367">
        <f t="shared" si="40"/>
        <v>340</v>
      </c>
      <c r="B358" s="368"/>
      <c r="C358" s="377" t="s">
        <v>160</v>
      </c>
      <c r="D358" s="369"/>
      <c r="E358" s="85" t="s">
        <v>212</v>
      </c>
      <c r="F358" s="416"/>
      <c r="G358" s="79">
        <f t="shared" si="39"/>
        <v>0</v>
      </c>
      <c r="H358" s="465">
        <v>0</v>
      </c>
      <c r="I358" s="77">
        <v>0</v>
      </c>
      <c r="J358" s="464">
        <v>0</v>
      </c>
      <c r="K358" s="77"/>
      <c r="L358" s="218"/>
      <c r="M358" s="218"/>
      <c r="N358" s="218"/>
      <c r="O358" s="123"/>
      <c r="P358" s="123"/>
      <c r="Q358" s="218"/>
      <c r="R358" s="218"/>
      <c r="S358" s="220"/>
      <c r="T358" s="130"/>
      <c r="U358" s="123"/>
      <c r="V358" s="123"/>
      <c r="W358" s="123"/>
    </row>
    <row r="359" spans="1:23" ht="12.75">
      <c r="A359" s="367">
        <f t="shared" si="40"/>
        <v>341</v>
      </c>
      <c r="B359" s="368"/>
      <c r="C359" s="368">
        <v>10</v>
      </c>
      <c r="D359" s="369"/>
      <c r="E359" s="85" t="s">
        <v>213</v>
      </c>
      <c r="F359" s="416"/>
      <c r="G359" s="79">
        <f aca="true" t="shared" si="41" ref="G359:G391">H359+I359+J359+K359</f>
        <v>0</v>
      </c>
      <c r="H359" s="465">
        <v>0</v>
      </c>
      <c r="I359" s="77">
        <v>0</v>
      </c>
      <c r="J359" s="464">
        <v>0</v>
      </c>
      <c r="K359" s="77">
        <v>0</v>
      </c>
      <c r="L359" s="218"/>
      <c r="M359" s="218"/>
      <c r="N359" s="218"/>
      <c r="O359" s="123"/>
      <c r="P359" s="123"/>
      <c r="Q359" s="218"/>
      <c r="R359" s="218"/>
      <c r="S359" s="219"/>
      <c r="T359" s="130"/>
      <c r="U359" s="123"/>
      <c r="V359" s="123"/>
      <c r="W359" s="123"/>
    </row>
    <row r="360" spans="1:23" ht="12.75">
      <c r="A360" s="367">
        <f aca="true" t="shared" si="42" ref="A360:A408">A359+1</f>
        <v>342</v>
      </c>
      <c r="B360" s="368"/>
      <c r="C360" s="368">
        <v>11</v>
      </c>
      <c r="D360" s="369"/>
      <c r="E360" s="85" t="s">
        <v>273</v>
      </c>
      <c r="F360" s="416"/>
      <c r="G360" s="79">
        <f t="shared" si="41"/>
        <v>0</v>
      </c>
      <c r="H360" s="465">
        <v>0</v>
      </c>
      <c r="I360" s="77">
        <v>0</v>
      </c>
      <c r="J360" s="464">
        <v>0</v>
      </c>
      <c r="K360" s="77">
        <v>0</v>
      </c>
      <c r="L360" s="218"/>
      <c r="M360" s="218"/>
      <c r="N360" s="218"/>
      <c r="O360" s="123"/>
      <c r="P360" s="123"/>
      <c r="Q360" s="218"/>
      <c r="R360" s="218"/>
      <c r="S360" s="219"/>
      <c r="T360" s="130"/>
      <c r="U360" s="123"/>
      <c r="V360" s="123"/>
      <c r="W360" s="123"/>
    </row>
    <row r="361" spans="1:23" ht="12.75">
      <c r="A361" s="367">
        <f t="shared" si="42"/>
        <v>343</v>
      </c>
      <c r="B361" s="368"/>
      <c r="C361" s="368">
        <v>12</v>
      </c>
      <c r="D361" s="369"/>
      <c r="E361" s="85" t="s">
        <v>274</v>
      </c>
      <c r="F361" s="416"/>
      <c r="G361" s="79">
        <f t="shared" si="41"/>
        <v>0</v>
      </c>
      <c r="H361" s="465">
        <v>0</v>
      </c>
      <c r="I361" s="77">
        <v>0</v>
      </c>
      <c r="J361" s="464">
        <v>0</v>
      </c>
      <c r="K361" s="77">
        <v>0</v>
      </c>
      <c r="L361" s="218"/>
      <c r="M361" s="218"/>
      <c r="N361" s="218"/>
      <c r="O361" s="123"/>
      <c r="P361" s="123"/>
      <c r="Q361" s="218"/>
      <c r="R361" s="218"/>
      <c r="S361" s="219"/>
      <c r="T361" s="130"/>
      <c r="U361" s="123"/>
      <c r="V361" s="123"/>
      <c r="W361" s="123"/>
    </row>
    <row r="362" spans="1:23" ht="12.75">
      <c r="A362" s="367">
        <f t="shared" si="42"/>
        <v>344</v>
      </c>
      <c r="B362" s="368"/>
      <c r="C362" s="368">
        <v>13</v>
      </c>
      <c r="D362" s="369"/>
      <c r="E362" s="85" t="s">
        <v>216</v>
      </c>
      <c r="F362" s="416"/>
      <c r="G362" s="79">
        <f t="shared" si="41"/>
        <v>0</v>
      </c>
      <c r="H362" s="465">
        <v>0</v>
      </c>
      <c r="I362" s="77">
        <v>0</v>
      </c>
      <c r="J362" s="464">
        <v>0</v>
      </c>
      <c r="K362" s="77">
        <v>0</v>
      </c>
      <c r="L362" s="218"/>
      <c r="M362" s="218"/>
      <c r="N362" s="218"/>
      <c r="O362" s="123"/>
      <c r="P362" s="123"/>
      <c r="Q362" s="218"/>
      <c r="R362" s="218"/>
      <c r="S362" s="219"/>
      <c r="T362" s="130"/>
      <c r="U362" s="123"/>
      <c r="V362" s="123"/>
      <c r="W362" s="123"/>
    </row>
    <row r="363" spans="1:23" ht="12.75">
      <c r="A363" s="367">
        <f t="shared" si="42"/>
        <v>345</v>
      </c>
      <c r="B363" s="368"/>
      <c r="C363" s="368">
        <v>14</v>
      </c>
      <c r="D363" s="369"/>
      <c r="E363" s="85" t="s">
        <v>217</v>
      </c>
      <c r="F363" s="416"/>
      <c r="G363" s="79">
        <f t="shared" si="41"/>
        <v>0</v>
      </c>
      <c r="H363" s="465">
        <v>0</v>
      </c>
      <c r="I363" s="77">
        <v>0</v>
      </c>
      <c r="J363" s="464">
        <v>0</v>
      </c>
      <c r="K363" s="77">
        <v>0</v>
      </c>
      <c r="L363" s="218"/>
      <c r="M363" s="218"/>
      <c r="N363" s="218"/>
      <c r="O363" s="123"/>
      <c r="P363" s="123"/>
      <c r="Q363" s="218"/>
      <c r="R363" s="218"/>
      <c r="S363" s="219"/>
      <c r="T363" s="130"/>
      <c r="U363" s="123"/>
      <c r="V363" s="123"/>
      <c r="W363" s="123"/>
    </row>
    <row r="364" spans="1:23" ht="12.75">
      <c r="A364" s="367">
        <f t="shared" si="42"/>
        <v>346</v>
      </c>
      <c r="B364" s="368"/>
      <c r="C364" s="368">
        <v>25</v>
      </c>
      <c r="D364" s="369"/>
      <c r="E364" s="85" t="s">
        <v>218</v>
      </c>
      <c r="F364" s="416"/>
      <c r="G364" s="79">
        <f t="shared" si="41"/>
        <v>0</v>
      </c>
      <c r="H364" s="465">
        <v>0</v>
      </c>
      <c r="I364" s="77">
        <v>0</v>
      </c>
      <c r="J364" s="464">
        <v>0</v>
      </c>
      <c r="K364" s="77">
        <v>0</v>
      </c>
      <c r="L364" s="218"/>
      <c r="M364" s="218"/>
      <c r="N364" s="218"/>
      <c r="O364" s="123"/>
      <c r="P364" s="123"/>
      <c r="Q364" s="218"/>
      <c r="R364" s="218"/>
      <c r="S364" s="219"/>
      <c r="T364" s="130"/>
      <c r="U364" s="123"/>
      <c r="V364" s="123"/>
      <c r="W364" s="123"/>
    </row>
    <row r="365" spans="1:23" ht="12.75">
      <c r="A365" s="367">
        <f t="shared" si="42"/>
        <v>347</v>
      </c>
      <c r="B365" s="368"/>
      <c r="C365" s="368">
        <v>27</v>
      </c>
      <c r="D365" s="369"/>
      <c r="E365" s="85" t="s">
        <v>219</v>
      </c>
      <c r="F365" s="416"/>
      <c r="G365" s="79">
        <f t="shared" si="41"/>
        <v>0</v>
      </c>
      <c r="H365" s="465">
        <v>0</v>
      </c>
      <c r="I365" s="77">
        <v>0</v>
      </c>
      <c r="J365" s="464">
        <v>0</v>
      </c>
      <c r="K365" s="77">
        <v>0</v>
      </c>
      <c r="L365" s="218"/>
      <c r="M365" s="218"/>
      <c r="N365" s="218"/>
      <c r="O365" s="123"/>
      <c r="P365" s="123"/>
      <c r="Q365" s="218"/>
      <c r="R365" s="218"/>
      <c r="S365" s="219"/>
      <c r="T365" s="130"/>
      <c r="U365" s="123"/>
      <c r="V365" s="123"/>
      <c r="W365" s="123"/>
    </row>
    <row r="366" spans="1:23" ht="12.75">
      <c r="A366" s="367">
        <f t="shared" si="42"/>
        <v>348</v>
      </c>
      <c r="B366" s="368"/>
      <c r="C366" s="368">
        <v>30</v>
      </c>
      <c r="D366" s="369"/>
      <c r="E366" s="85" t="s">
        <v>120</v>
      </c>
      <c r="F366" s="49">
        <f>+F367+F368+F369+F370+F371</f>
        <v>0</v>
      </c>
      <c r="G366" s="50">
        <f t="shared" si="41"/>
        <v>0</v>
      </c>
      <c r="H366" s="166">
        <f>+H367+H368+H369+H370+H371</f>
        <v>0</v>
      </c>
      <c r="I366" s="166">
        <f>+I367+I368+I369+I370+I371</f>
        <v>0</v>
      </c>
      <c r="J366" s="461">
        <f>+J367+J368+J369+J370+J371</f>
        <v>0</v>
      </c>
      <c r="K366" s="166">
        <f>+K367+K368+K369+K370+K371</f>
        <v>0</v>
      </c>
      <c r="L366" s="218"/>
      <c r="M366" s="218"/>
      <c r="N366" s="218"/>
      <c r="O366" s="123"/>
      <c r="P366" s="123"/>
      <c r="Q366" s="218"/>
      <c r="R366" s="218"/>
      <c r="S366" s="219"/>
      <c r="T366" s="130"/>
      <c r="U366" s="123"/>
      <c r="V366" s="123"/>
      <c r="W366" s="123"/>
    </row>
    <row r="367" spans="1:23" ht="12.75">
      <c r="A367" s="367">
        <f t="shared" si="42"/>
        <v>349</v>
      </c>
      <c r="B367" s="368"/>
      <c r="C367" s="368"/>
      <c r="D367" s="379" t="s">
        <v>47</v>
      </c>
      <c r="E367" s="66" t="s">
        <v>220</v>
      </c>
      <c r="F367" s="416"/>
      <c r="G367" s="79">
        <f t="shared" si="41"/>
        <v>0</v>
      </c>
      <c r="H367" s="77">
        <v>0</v>
      </c>
      <c r="I367" s="77">
        <v>0</v>
      </c>
      <c r="J367" s="464">
        <v>0</v>
      </c>
      <c r="K367" s="77">
        <v>0</v>
      </c>
      <c r="L367" s="218"/>
      <c r="M367" s="218"/>
      <c r="N367" s="218"/>
      <c r="O367" s="123"/>
      <c r="P367" s="123"/>
      <c r="Q367" s="123"/>
      <c r="R367" s="123"/>
      <c r="S367" s="123"/>
      <c r="T367" s="123"/>
      <c r="U367" s="123"/>
      <c r="V367" s="123"/>
      <c r="W367" s="123"/>
    </row>
    <row r="368" spans="1:23" ht="12.75">
      <c r="A368" s="367">
        <f t="shared" si="42"/>
        <v>350</v>
      </c>
      <c r="B368" s="368"/>
      <c r="C368" s="368"/>
      <c r="D368" s="379" t="s">
        <v>84</v>
      </c>
      <c r="E368" s="66" t="s">
        <v>221</v>
      </c>
      <c r="F368" s="416"/>
      <c r="G368" s="79">
        <f t="shared" si="41"/>
        <v>0</v>
      </c>
      <c r="H368" s="77">
        <v>0</v>
      </c>
      <c r="I368" s="77">
        <v>0</v>
      </c>
      <c r="J368" s="464">
        <v>0</v>
      </c>
      <c r="K368" s="77">
        <v>0</v>
      </c>
      <c r="L368" s="218"/>
      <c r="M368" s="218"/>
      <c r="N368" s="218"/>
      <c r="O368" s="123"/>
      <c r="P368" s="123"/>
      <c r="Q368" s="123"/>
      <c r="R368" s="123"/>
      <c r="S368" s="123"/>
      <c r="T368" s="123"/>
      <c r="U368" s="123"/>
      <c r="V368" s="123"/>
      <c r="W368" s="123"/>
    </row>
    <row r="369" spans="1:23" ht="12.75">
      <c r="A369" s="367">
        <f t="shared" si="42"/>
        <v>351</v>
      </c>
      <c r="B369" s="368"/>
      <c r="C369" s="368"/>
      <c r="D369" s="379" t="s">
        <v>108</v>
      </c>
      <c r="E369" s="66" t="s">
        <v>222</v>
      </c>
      <c r="F369" s="416"/>
      <c r="G369" s="79">
        <f t="shared" si="41"/>
        <v>0</v>
      </c>
      <c r="H369" s="77">
        <v>0</v>
      </c>
      <c r="I369" s="77">
        <v>0</v>
      </c>
      <c r="J369" s="464">
        <v>0</v>
      </c>
      <c r="K369" s="77">
        <v>0</v>
      </c>
      <c r="L369" s="218"/>
      <c r="M369" s="21"/>
      <c r="N369" s="218"/>
      <c r="O369" s="123"/>
      <c r="P369" s="123"/>
      <c r="Q369" s="123"/>
      <c r="R369" s="123"/>
      <c r="S369" s="123"/>
      <c r="T369" s="123"/>
      <c r="U369" s="123"/>
      <c r="V369" s="123"/>
      <c r="W369" s="123"/>
    </row>
    <row r="370" spans="1:23" ht="12.75">
      <c r="A370" s="367">
        <f t="shared" si="42"/>
        <v>352</v>
      </c>
      <c r="B370" s="368"/>
      <c r="C370" s="368"/>
      <c r="D370" s="379" t="s">
        <v>160</v>
      </c>
      <c r="E370" s="66" t="s">
        <v>223</v>
      </c>
      <c r="F370" s="416"/>
      <c r="G370" s="79">
        <f t="shared" si="41"/>
        <v>0</v>
      </c>
      <c r="H370" s="77">
        <v>0</v>
      </c>
      <c r="I370" s="77">
        <v>0</v>
      </c>
      <c r="J370" s="464">
        <v>0</v>
      </c>
      <c r="K370" s="77">
        <v>0</v>
      </c>
      <c r="L370" s="218"/>
      <c r="M370" s="21"/>
      <c r="N370" s="218"/>
      <c r="O370" s="123"/>
      <c r="P370" s="123"/>
      <c r="Q370" s="123"/>
      <c r="R370" s="123"/>
      <c r="S370" s="123"/>
      <c r="T370" s="123"/>
      <c r="U370" s="123"/>
      <c r="V370" s="123"/>
      <c r="W370" s="123"/>
    </row>
    <row r="371" spans="1:23" ht="12.75">
      <c r="A371" s="367">
        <f t="shared" si="42"/>
        <v>353</v>
      </c>
      <c r="B371" s="368"/>
      <c r="C371" s="368"/>
      <c r="D371" s="369">
        <v>30</v>
      </c>
      <c r="E371" s="66" t="s">
        <v>224</v>
      </c>
      <c r="F371" s="416"/>
      <c r="G371" s="79">
        <f t="shared" si="41"/>
        <v>0</v>
      </c>
      <c r="H371" s="77">
        <v>0</v>
      </c>
      <c r="I371" s="77">
        <v>0</v>
      </c>
      <c r="J371" s="464">
        <v>0</v>
      </c>
      <c r="K371" s="77">
        <v>0</v>
      </c>
      <c r="L371" s="218"/>
      <c r="M371" s="21"/>
      <c r="N371" s="218"/>
      <c r="O371" s="123"/>
      <c r="P371" s="123"/>
      <c r="Q371" s="123"/>
      <c r="R371" s="123"/>
      <c r="S371" s="123"/>
      <c r="T371" s="123"/>
      <c r="U371" s="123"/>
      <c r="V371" s="123"/>
      <c r="W371" s="123"/>
    </row>
    <row r="372" spans="1:23" ht="12.75">
      <c r="A372" s="367">
        <f t="shared" si="42"/>
        <v>354</v>
      </c>
      <c r="B372" s="395">
        <v>30</v>
      </c>
      <c r="C372" s="395"/>
      <c r="D372" s="396"/>
      <c r="E372" s="418" t="s">
        <v>225</v>
      </c>
      <c r="F372" s="49">
        <f aca="true" t="shared" si="43" ref="F372:K373">+F373</f>
        <v>0</v>
      </c>
      <c r="G372" s="50">
        <f t="shared" si="41"/>
        <v>0</v>
      </c>
      <c r="H372" s="49">
        <f t="shared" si="43"/>
        <v>0</v>
      </c>
      <c r="I372" s="49">
        <f t="shared" si="43"/>
        <v>0</v>
      </c>
      <c r="J372" s="209">
        <f t="shared" si="43"/>
        <v>0</v>
      </c>
      <c r="K372" s="49">
        <f t="shared" si="43"/>
        <v>0</v>
      </c>
      <c r="L372" s="218"/>
      <c r="M372" s="21"/>
      <c r="N372" s="218"/>
      <c r="O372" s="123"/>
      <c r="P372" s="123"/>
      <c r="Q372" s="123"/>
      <c r="R372" s="123"/>
      <c r="S372" s="123"/>
      <c r="T372" s="123"/>
      <c r="U372" s="123"/>
      <c r="V372" s="123"/>
      <c r="W372" s="123"/>
    </row>
    <row r="373" spans="1:23" ht="12.75">
      <c r="A373" s="367">
        <f t="shared" si="42"/>
        <v>355</v>
      </c>
      <c r="B373" s="395"/>
      <c r="C373" s="401" t="s">
        <v>84</v>
      </c>
      <c r="D373" s="396"/>
      <c r="E373" s="418" t="s">
        <v>226</v>
      </c>
      <c r="F373" s="49">
        <f t="shared" si="43"/>
        <v>0</v>
      </c>
      <c r="G373" s="50">
        <f t="shared" si="41"/>
        <v>0</v>
      </c>
      <c r="H373" s="49">
        <f t="shared" si="43"/>
        <v>0</v>
      </c>
      <c r="I373" s="49">
        <f t="shared" si="43"/>
        <v>0</v>
      </c>
      <c r="J373" s="209">
        <f t="shared" si="43"/>
        <v>0</v>
      </c>
      <c r="K373" s="49">
        <f t="shared" si="43"/>
        <v>0</v>
      </c>
      <c r="L373" s="218"/>
      <c r="M373" s="21"/>
      <c r="N373" s="218"/>
      <c r="O373" s="123"/>
      <c r="P373" s="123"/>
      <c r="Q373" s="123"/>
      <c r="R373" s="123"/>
      <c r="S373" s="123"/>
      <c r="T373" s="123"/>
      <c r="U373" s="123"/>
      <c r="V373" s="123"/>
      <c r="W373" s="123"/>
    </row>
    <row r="374" spans="1:23" ht="12.75">
      <c r="A374" s="367">
        <f t="shared" si="42"/>
        <v>356</v>
      </c>
      <c r="B374" s="395"/>
      <c r="C374" s="401"/>
      <c r="D374" s="402" t="s">
        <v>41</v>
      </c>
      <c r="E374" s="419" t="s">
        <v>227</v>
      </c>
      <c r="F374" s="375"/>
      <c r="G374" s="79">
        <f t="shared" si="41"/>
        <v>0</v>
      </c>
      <c r="H374" s="375"/>
      <c r="I374" s="375"/>
      <c r="J374" s="447"/>
      <c r="K374" s="375"/>
      <c r="L374" s="218"/>
      <c r="M374" s="21"/>
      <c r="N374" s="218"/>
      <c r="O374" s="123"/>
      <c r="P374" s="123"/>
      <c r="Q374" s="123"/>
      <c r="R374" s="123"/>
      <c r="S374" s="123"/>
      <c r="T374" s="123"/>
      <c r="U374" s="123"/>
      <c r="V374" s="123"/>
      <c r="W374" s="123"/>
    </row>
    <row r="375" spans="1:23" ht="25.5">
      <c r="A375" s="367">
        <f t="shared" si="42"/>
        <v>357</v>
      </c>
      <c r="B375" s="404" t="s">
        <v>228</v>
      </c>
      <c r="C375" s="401"/>
      <c r="D375" s="402"/>
      <c r="E375" s="413" t="s">
        <v>229</v>
      </c>
      <c r="F375" s="375"/>
      <c r="G375" s="79">
        <f t="shared" si="41"/>
        <v>0</v>
      </c>
      <c r="H375" s="375"/>
      <c r="I375" s="375"/>
      <c r="J375" s="447"/>
      <c r="K375" s="375"/>
      <c r="L375" s="218"/>
      <c r="M375" s="21"/>
      <c r="N375" s="218"/>
      <c r="O375" s="123"/>
      <c r="P375" s="123"/>
      <c r="Q375" s="123"/>
      <c r="R375" s="123"/>
      <c r="S375" s="123"/>
      <c r="T375" s="123"/>
      <c r="U375" s="123"/>
      <c r="V375" s="123"/>
      <c r="W375" s="123"/>
    </row>
    <row r="376" spans="1:23" ht="12.75">
      <c r="A376" s="367">
        <f t="shared" si="42"/>
        <v>358</v>
      </c>
      <c r="B376" s="395">
        <v>57</v>
      </c>
      <c r="C376" s="401"/>
      <c r="D376" s="402"/>
      <c r="E376" s="418" t="s">
        <v>230</v>
      </c>
      <c r="F376" s="109">
        <f aca="true" t="shared" si="44" ref="F376:K377">F377</f>
        <v>0</v>
      </c>
      <c r="G376" s="109">
        <f t="shared" si="41"/>
        <v>0</v>
      </c>
      <c r="H376" s="109">
        <f t="shared" si="44"/>
        <v>0</v>
      </c>
      <c r="I376" s="109">
        <f t="shared" si="44"/>
        <v>0</v>
      </c>
      <c r="J376" s="211">
        <f t="shared" si="44"/>
        <v>0</v>
      </c>
      <c r="K376" s="109">
        <f t="shared" si="44"/>
        <v>0</v>
      </c>
      <c r="L376" s="218"/>
      <c r="M376" s="21"/>
      <c r="N376" s="218"/>
      <c r="O376" s="123"/>
      <c r="P376" s="123"/>
      <c r="Q376" s="123"/>
      <c r="R376" s="123"/>
      <c r="S376" s="123"/>
      <c r="T376" s="123"/>
      <c r="U376" s="123"/>
      <c r="V376" s="123"/>
      <c r="W376" s="123"/>
    </row>
    <row r="377" spans="1:23" ht="12.75">
      <c r="A377" s="367">
        <f t="shared" si="42"/>
        <v>359</v>
      </c>
      <c r="B377" s="395"/>
      <c r="C377" s="401" t="s">
        <v>47</v>
      </c>
      <c r="D377" s="402"/>
      <c r="E377" s="418" t="s">
        <v>231</v>
      </c>
      <c r="F377" s="109">
        <f t="shared" si="44"/>
        <v>0</v>
      </c>
      <c r="G377" s="109">
        <f t="shared" si="41"/>
        <v>0</v>
      </c>
      <c r="H377" s="109">
        <f t="shared" si="44"/>
        <v>0</v>
      </c>
      <c r="I377" s="109">
        <f t="shared" si="44"/>
        <v>0</v>
      </c>
      <c r="J377" s="211">
        <f t="shared" si="44"/>
        <v>0</v>
      </c>
      <c r="K377" s="109">
        <f t="shared" si="44"/>
        <v>0</v>
      </c>
      <c r="L377" s="218"/>
      <c r="M377" s="21"/>
      <c r="N377" s="218"/>
      <c r="O377" s="123"/>
      <c r="P377" s="123"/>
      <c r="Q377" s="123"/>
      <c r="R377" s="123"/>
      <c r="S377" s="123"/>
      <c r="T377" s="123"/>
      <c r="U377" s="123"/>
      <c r="V377" s="123"/>
      <c r="W377" s="123"/>
    </row>
    <row r="378" spans="1:23" ht="12.75">
      <c r="A378" s="367">
        <f t="shared" si="42"/>
        <v>360</v>
      </c>
      <c r="B378" s="395"/>
      <c r="C378" s="401" t="s">
        <v>80</v>
      </c>
      <c r="D378" s="402"/>
      <c r="E378" s="419" t="s">
        <v>232</v>
      </c>
      <c r="F378" s="109">
        <f>F379+F380+F381+F382</f>
        <v>0</v>
      </c>
      <c r="G378" s="109">
        <f t="shared" si="41"/>
        <v>0</v>
      </c>
      <c r="H378" s="109">
        <f>H379+H380+H381+H382</f>
        <v>0</v>
      </c>
      <c r="I378" s="109">
        <f>I379+I380+I381+I382</f>
        <v>0</v>
      </c>
      <c r="J378" s="211">
        <f>J379+J380+J381+J382</f>
        <v>0</v>
      </c>
      <c r="K378" s="109">
        <f>K379+K380+K381+K382</f>
        <v>0</v>
      </c>
      <c r="L378" s="218"/>
      <c r="M378" s="21"/>
      <c r="N378" s="218"/>
      <c r="O378" s="123"/>
      <c r="P378" s="123"/>
      <c r="Q378" s="123"/>
      <c r="R378" s="123"/>
      <c r="S378" s="123"/>
      <c r="T378" s="123"/>
      <c r="U378" s="123"/>
      <c r="V378" s="123"/>
      <c r="W378" s="123"/>
    </row>
    <row r="379" spans="1:23" ht="12.75">
      <c r="A379" s="367">
        <f t="shared" si="42"/>
        <v>361</v>
      </c>
      <c r="B379" s="395"/>
      <c r="C379" s="401"/>
      <c r="D379" s="402" t="s">
        <v>47</v>
      </c>
      <c r="E379" s="419" t="s">
        <v>233</v>
      </c>
      <c r="F379" s="375"/>
      <c r="G379" s="109">
        <f t="shared" si="41"/>
        <v>0</v>
      </c>
      <c r="H379" s="375"/>
      <c r="I379" s="375"/>
      <c r="J379" s="447"/>
      <c r="K379" s="375"/>
      <c r="L379" s="218"/>
      <c r="M379" s="21"/>
      <c r="N379" s="218"/>
      <c r="O379" s="123"/>
      <c r="P379" s="123"/>
      <c r="Q379" s="123"/>
      <c r="R379" s="123"/>
      <c r="S379" s="123"/>
      <c r="T379" s="123"/>
      <c r="U379" s="123"/>
      <c r="V379" s="123"/>
      <c r="W379" s="123"/>
    </row>
    <row r="380" spans="1:23" ht="12.75">
      <c r="A380" s="367">
        <f t="shared" si="42"/>
        <v>362</v>
      </c>
      <c r="B380" s="395"/>
      <c r="C380" s="401"/>
      <c r="D380" s="402" t="s">
        <v>80</v>
      </c>
      <c r="E380" s="419" t="s">
        <v>234</v>
      </c>
      <c r="F380" s="375"/>
      <c r="G380" s="109">
        <f t="shared" si="41"/>
        <v>0</v>
      </c>
      <c r="H380" s="375"/>
      <c r="I380" s="375"/>
      <c r="J380" s="447"/>
      <c r="K380" s="375"/>
      <c r="L380" s="218"/>
      <c r="M380" s="21"/>
      <c r="N380" s="218"/>
      <c r="O380" s="123"/>
      <c r="P380" s="123"/>
      <c r="Q380" s="123"/>
      <c r="R380" s="123"/>
      <c r="S380" s="123"/>
      <c r="T380" s="123"/>
      <c r="U380" s="123"/>
      <c r="V380" s="123"/>
      <c r="W380" s="123"/>
    </row>
    <row r="381" spans="1:23" ht="12.75">
      <c r="A381" s="367">
        <f t="shared" si="42"/>
        <v>363</v>
      </c>
      <c r="B381" s="395"/>
      <c r="C381" s="401"/>
      <c r="D381" s="402" t="s">
        <v>84</v>
      </c>
      <c r="E381" s="419" t="s">
        <v>235</v>
      </c>
      <c r="F381" s="375"/>
      <c r="G381" s="109">
        <f t="shared" si="41"/>
        <v>0</v>
      </c>
      <c r="H381" s="375"/>
      <c r="I381" s="375"/>
      <c r="J381" s="447"/>
      <c r="K381" s="375"/>
      <c r="L381" s="218"/>
      <c r="M381" s="21"/>
      <c r="N381" s="218"/>
      <c r="O381" s="123"/>
      <c r="P381" s="123"/>
      <c r="Q381" s="123"/>
      <c r="R381" s="123"/>
      <c r="S381" s="123"/>
      <c r="T381" s="123"/>
      <c r="U381" s="123"/>
      <c r="V381" s="123"/>
      <c r="W381" s="123"/>
    </row>
    <row r="382" spans="1:23" ht="12.75">
      <c r="A382" s="367">
        <f t="shared" si="42"/>
        <v>364</v>
      </c>
      <c r="B382" s="395"/>
      <c r="C382" s="401"/>
      <c r="D382" s="402" t="s">
        <v>108</v>
      </c>
      <c r="E382" s="419" t="s">
        <v>236</v>
      </c>
      <c r="F382" s="375"/>
      <c r="G382" s="109">
        <f t="shared" si="41"/>
        <v>0</v>
      </c>
      <c r="H382" s="375"/>
      <c r="I382" s="375"/>
      <c r="J382" s="447"/>
      <c r="K382" s="375"/>
      <c r="L382" s="218"/>
      <c r="M382" s="21"/>
      <c r="N382" s="218"/>
      <c r="O382" s="123"/>
      <c r="P382" s="123"/>
      <c r="Q382" s="123"/>
      <c r="R382" s="123"/>
      <c r="S382" s="123"/>
      <c r="T382" s="123"/>
      <c r="U382" s="123"/>
      <c r="V382" s="123"/>
      <c r="W382" s="123"/>
    </row>
    <row r="383" spans="1:23" ht="12.75">
      <c r="A383" s="367">
        <f t="shared" si="42"/>
        <v>365</v>
      </c>
      <c r="B383" s="368">
        <v>70</v>
      </c>
      <c r="C383" s="368"/>
      <c r="D383" s="86"/>
      <c r="E383" s="85" t="s">
        <v>288</v>
      </c>
      <c r="F383" s="49">
        <f>+F384</f>
        <v>0</v>
      </c>
      <c r="G383" s="50">
        <f t="shared" si="41"/>
        <v>2991</v>
      </c>
      <c r="H383" s="49">
        <f>+H384</f>
        <v>0</v>
      </c>
      <c r="I383" s="49">
        <f>+I384</f>
        <v>0</v>
      </c>
      <c r="J383" s="209">
        <f>+J384</f>
        <v>1392</v>
      </c>
      <c r="K383" s="49">
        <f>+K384</f>
        <v>1599</v>
      </c>
      <c r="L383" s="218"/>
      <c r="M383" s="21"/>
      <c r="N383" s="218"/>
      <c r="O383" s="123"/>
      <c r="P383" s="123"/>
      <c r="Q383" s="123"/>
      <c r="R383" s="123"/>
      <c r="S383" s="123"/>
      <c r="T383" s="123"/>
      <c r="U383" s="123"/>
      <c r="V383" s="123"/>
      <c r="W383" s="123"/>
    </row>
    <row r="384" spans="1:23" ht="12.75">
      <c r="A384" s="367">
        <f t="shared" si="42"/>
        <v>366</v>
      </c>
      <c r="B384" s="368">
        <v>71</v>
      </c>
      <c r="C384" s="368"/>
      <c r="D384" s="369"/>
      <c r="E384" s="85" t="s">
        <v>238</v>
      </c>
      <c r="F384" s="49">
        <f>+F385+F390</f>
        <v>0</v>
      </c>
      <c r="G384" s="50">
        <f t="shared" si="41"/>
        <v>2991</v>
      </c>
      <c r="H384" s="49">
        <f>+H385+H390</f>
        <v>0</v>
      </c>
      <c r="I384" s="49">
        <f>+I385+I390</f>
        <v>0</v>
      </c>
      <c r="J384" s="209">
        <f>+J385+J390</f>
        <v>1392</v>
      </c>
      <c r="K384" s="49">
        <f>+K385+K390</f>
        <v>1599</v>
      </c>
      <c r="L384" s="218"/>
      <c r="M384" s="21"/>
      <c r="N384" s="218"/>
      <c r="O384" s="123"/>
      <c r="P384" s="123"/>
      <c r="Q384" s="123"/>
      <c r="R384" s="123"/>
      <c r="S384" s="123"/>
      <c r="T384" s="123"/>
      <c r="U384" s="123"/>
      <c r="V384" s="123"/>
      <c r="W384" s="123"/>
    </row>
    <row r="385" spans="1:23" ht="12.75">
      <c r="A385" s="367">
        <f t="shared" si="42"/>
        <v>367</v>
      </c>
      <c r="B385" s="368"/>
      <c r="C385" s="377" t="s">
        <v>47</v>
      </c>
      <c r="D385" s="369"/>
      <c r="E385" s="85" t="s">
        <v>77</v>
      </c>
      <c r="F385" s="49">
        <f>+F386+F387+F388+F389</f>
        <v>0</v>
      </c>
      <c r="G385" s="50">
        <f t="shared" si="41"/>
        <v>1899</v>
      </c>
      <c r="H385" s="49">
        <f>+H386+H387+H388+H389</f>
        <v>0</v>
      </c>
      <c r="I385" s="49">
        <f>+I386+I387+I388+I389</f>
        <v>0</v>
      </c>
      <c r="J385" s="209">
        <f>+J386+J387+J388+J389</f>
        <v>300</v>
      </c>
      <c r="K385" s="49">
        <f>+K386+K387+K388+K389</f>
        <v>1599</v>
      </c>
      <c r="L385" s="218"/>
      <c r="M385" s="21"/>
      <c r="N385" s="218"/>
      <c r="O385" s="123"/>
      <c r="P385" s="123"/>
      <c r="Q385" s="123"/>
      <c r="R385" s="123"/>
      <c r="S385" s="123"/>
      <c r="T385" s="123"/>
      <c r="U385" s="123"/>
      <c r="V385" s="123"/>
      <c r="W385" s="123"/>
    </row>
    <row r="386" spans="1:23" ht="12.75">
      <c r="A386" s="367">
        <f t="shared" si="42"/>
        <v>368</v>
      </c>
      <c r="B386" s="368"/>
      <c r="C386" s="368"/>
      <c r="D386" s="379" t="s">
        <v>47</v>
      </c>
      <c r="E386" s="66" t="s">
        <v>239</v>
      </c>
      <c r="F386" s="416"/>
      <c r="G386" s="79">
        <f t="shared" si="41"/>
        <v>0</v>
      </c>
      <c r="H386" s="416"/>
      <c r="I386" s="416"/>
      <c r="J386" s="466"/>
      <c r="K386" s="416"/>
      <c r="L386" s="218"/>
      <c r="M386" s="21"/>
      <c r="N386" s="218"/>
      <c r="O386" s="123"/>
      <c r="P386" s="123"/>
      <c r="Q386" s="123"/>
      <c r="R386" s="123"/>
      <c r="S386" s="123"/>
      <c r="T386" s="123"/>
      <c r="U386" s="123"/>
      <c r="V386" s="123"/>
      <c r="W386" s="123"/>
    </row>
    <row r="387" spans="1:23" ht="12.75">
      <c r="A387" s="367">
        <f t="shared" si="42"/>
        <v>369</v>
      </c>
      <c r="B387" s="368"/>
      <c r="C387" s="368"/>
      <c r="D387" s="379" t="s">
        <v>80</v>
      </c>
      <c r="E387" s="66" t="s">
        <v>81</v>
      </c>
      <c r="F387" s="416"/>
      <c r="G387" s="79">
        <f t="shared" si="41"/>
        <v>1899</v>
      </c>
      <c r="H387" s="416"/>
      <c r="I387" s="416">
        <v>0</v>
      </c>
      <c r="J387" s="466">
        <v>300</v>
      </c>
      <c r="K387" s="416">
        <v>1599</v>
      </c>
      <c r="L387" s="218"/>
      <c r="M387" s="21"/>
      <c r="N387" s="218"/>
      <c r="O387" s="123"/>
      <c r="P387" s="123"/>
      <c r="Q387" s="123"/>
      <c r="R387" s="123"/>
      <c r="S387" s="123"/>
      <c r="T387" s="123"/>
      <c r="U387" s="123"/>
      <c r="V387" s="123"/>
      <c r="W387" s="123"/>
    </row>
    <row r="388" spans="1:23" ht="12.75">
      <c r="A388" s="367">
        <f t="shared" si="42"/>
        <v>370</v>
      </c>
      <c r="B388" s="368"/>
      <c r="C388" s="368"/>
      <c r="D388" s="379" t="s">
        <v>84</v>
      </c>
      <c r="E388" s="66" t="s">
        <v>245</v>
      </c>
      <c r="F388" s="416"/>
      <c r="G388" s="79">
        <f t="shared" si="41"/>
        <v>0</v>
      </c>
      <c r="H388" s="416"/>
      <c r="I388" s="416"/>
      <c r="J388" s="466"/>
      <c r="K388" s="416"/>
      <c r="L388" s="218"/>
      <c r="M388" s="21"/>
      <c r="N388" s="218"/>
      <c r="O388" s="123"/>
      <c r="P388" s="123"/>
      <c r="Q388" s="123"/>
      <c r="R388" s="123"/>
      <c r="S388" s="123"/>
      <c r="T388" s="123"/>
      <c r="U388" s="123"/>
      <c r="V388" s="123"/>
      <c r="W388" s="123"/>
    </row>
    <row r="389" spans="1:23" ht="12.75">
      <c r="A389" s="367">
        <f t="shared" si="42"/>
        <v>371</v>
      </c>
      <c r="B389" s="368"/>
      <c r="C389" s="368"/>
      <c r="D389" s="369">
        <v>30</v>
      </c>
      <c r="E389" s="66" t="s">
        <v>275</v>
      </c>
      <c r="F389" s="416"/>
      <c r="G389" s="79">
        <f t="shared" si="41"/>
        <v>0</v>
      </c>
      <c r="H389" s="416"/>
      <c r="I389" s="416"/>
      <c r="J389" s="466"/>
      <c r="K389" s="416"/>
      <c r="L389" s="218"/>
      <c r="N389" s="123"/>
      <c r="O389" s="123"/>
      <c r="P389" s="123"/>
      <c r="Q389" s="123"/>
      <c r="R389" s="123"/>
      <c r="S389" s="123"/>
      <c r="T389" s="123"/>
      <c r="U389" s="123"/>
      <c r="V389" s="123"/>
      <c r="W389" s="123"/>
    </row>
    <row r="390" spans="1:23" ht="12.75">
      <c r="A390" s="367">
        <f t="shared" si="42"/>
        <v>372</v>
      </c>
      <c r="B390" s="368"/>
      <c r="C390" s="377" t="s">
        <v>84</v>
      </c>
      <c r="D390" s="369"/>
      <c r="E390" s="66" t="s">
        <v>243</v>
      </c>
      <c r="F390" s="416"/>
      <c r="G390" s="79">
        <f t="shared" si="41"/>
        <v>1092</v>
      </c>
      <c r="H390" s="416"/>
      <c r="I390" s="416"/>
      <c r="J390" s="466">
        <v>1092</v>
      </c>
      <c r="K390" s="416"/>
      <c r="L390" s="218"/>
      <c r="N390" s="123"/>
      <c r="O390" s="123"/>
      <c r="P390" s="123"/>
      <c r="Q390" s="123"/>
      <c r="R390" s="123"/>
      <c r="S390" s="123"/>
      <c r="T390" s="123"/>
      <c r="U390" s="123"/>
      <c r="V390" s="123"/>
      <c r="W390" s="123"/>
    </row>
    <row r="391" spans="1:23" ht="12.75">
      <c r="A391" s="367">
        <f t="shared" si="42"/>
        <v>373</v>
      </c>
      <c r="B391" s="368"/>
      <c r="C391" s="368"/>
      <c r="D391" s="369"/>
      <c r="E391" s="85" t="s">
        <v>244</v>
      </c>
      <c r="F391" s="49">
        <f>+F392+F393+F394</f>
        <v>0</v>
      </c>
      <c r="G391" s="50">
        <f t="shared" si="41"/>
        <v>0</v>
      </c>
      <c r="H391" s="49">
        <f>+H392+H393+H394</f>
        <v>0</v>
      </c>
      <c r="I391" s="49">
        <f>+I392+I393+I394</f>
        <v>0</v>
      </c>
      <c r="J391" s="209">
        <f>+J392+J393+J394</f>
        <v>0</v>
      </c>
      <c r="K391" s="49">
        <f>+K392+K393+K394</f>
        <v>0</v>
      </c>
      <c r="L391" s="218"/>
      <c r="N391" s="123"/>
      <c r="O391" s="123"/>
      <c r="P391" s="123"/>
      <c r="Q391" s="123"/>
      <c r="R391" s="123"/>
      <c r="S391" s="123"/>
      <c r="T391" s="123"/>
      <c r="U391" s="123"/>
      <c r="V391" s="123"/>
      <c r="W391" s="123"/>
    </row>
    <row r="392" spans="1:23" ht="12.75">
      <c r="A392" s="367">
        <f t="shared" si="42"/>
        <v>374</v>
      </c>
      <c r="B392" s="368">
        <v>71</v>
      </c>
      <c r="C392" s="377" t="s">
        <v>47</v>
      </c>
      <c r="D392" s="379" t="s">
        <v>80</v>
      </c>
      <c r="E392" s="66" t="s">
        <v>81</v>
      </c>
      <c r="F392" s="375"/>
      <c r="G392" s="79">
        <f>H392+I392+J392+K392</f>
        <v>0</v>
      </c>
      <c r="H392" s="375"/>
      <c r="I392" s="375"/>
      <c r="J392" s="447"/>
      <c r="K392" s="375"/>
      <c r="L392" s="218"/>
      <c r="N392" s="123"/>
      <c r="O392" s="123"/>
      <c r="P392" s="123"/>
      <c r="Q392" s="123"/>
      <c r="R392" s="123"/>
      <c r="S392" s="123"/>
      <c r="T392" s="123"/>
      <c r="U392" s="123"/>
      <c r="V392" s="123"/>
      <c r="W392" s="123"/>
    </row>
    <row r="393" spans="1:23" ht="12.75">
      <c r="A393" s="367">
        <f t="shared" si="42"/>
        <v>375</v>
      </c>
      <c r="B393" s="368"/>
      <c r="C393" s="368"/>
      <c r="D393" s="379" t="s">
        <v>84</v>
      </c>
      <c r="E393" s="66" t="s">
        <v>245</v>
      </c>
      <c r="F393" s="375"/>
      <c r="G393" s="79">
        <f>H393+I393+J393+K393</f>
        <v>0</v>
      </c>
      <c r="H393" s="375"/>
      <c r="I393" s="375"/>
      <c r="J393" s="447"/>
      <c r="K393" s="375"/>
      <c r="L393" s="218"/>
      <c r="N393" s="123"/>
      <c r="O393" s="123"/>
      <c r="P393" s="123"/>
      <c r="Q393" s="123"/>
      <c r="R393" s="123"/>
      <c r="S393" s="123"/>
      <c r="T393" s="123"/>
      <c r="U393" s="123"/>
      <c r="V393" s="123"/>
      <c r="W393" s="123"/>
    </row>
    <row r="394" spans="1:23" ht="12.75">
      <c r="A394" s="367">
        <f t="shared" si="42"/>
        <v>376</v>
      </c>
      <c r="B394" s="368"/>
      <c r="C394" s="368"/>
      <c r="D394" s="369">
        <v>30</v>
      </c>
      <c r="E394" s="97" t="s">
        <v>242</v>
      </c>
      <c r="F394" s="375"/>
      <c r="G394" s="79">
        <f>H394+I394+J394+K394</f>
        <v>0</v>
      </c>
      <c r="H394" s="375"/>
      <c r="I394" s="375"/>
      <c r="J394" s="447"/>
      <c r="K394" s="375"/>
      <c r="L394" s="218"/>
      <c r="N394" s="123"/>
      <c r="O394" s="123"/>
      <c r="P394" s="123"/>
      <c r="Q394" s="123"/>
      <c r="R394" s="123"/>
      <c r="S394" s="123"/>
      <c r="T394" s="123"/>
      <c r="U394" s="123"/>
      <c r="V394" s="123"/>
      <c r="W394" s="123"/>
    </row>
    <row r="395" spans="1:23" ht="12.75">
      <c r="A395" s="367">
        <f t="shared" si="42"/>
        <v>377</v>
      </c>
      <c r="B395" s="368" t="s">
        <v>18</v>
      </c>
      <c r="C395" s="368" t="s">
        <v>247</v>
      </c>
      <c r="D395" s="86" t="s">
        <v>20</v>
      </c>
      <c r="E395" s="66"/>
      <c r="F395" s="375"/>
      <c r="G395" s="79">
        <f>H395+I395+J395+K395</f>
        <v>0</v>
      </c>
      <c r="H395" s="375"/>
      <c r="I395" s="375"/>
      <c r="J395" s="447"/>
      <c r="K395" s="375"/>
      <c r="L395" s="218"/>
      <c r="N395" s="123"/>
      <c r="O395" s="123"/>
      <c r="P395" s="123"/>
      <c r="Q395" s="123"/>
      <c r="R395" s="123"/>
      <c r="S395" s="123"/>
      <c r="T395" s="123"/>
      <c r="U395" s="123"/>
      <c r="V395" s="123"/>
      <c r="W395" s="123"/>
    </row>
    <row r="396" spans="1:23" ht="12.75">
      <c r="A396" s="367">
        <f t="shared" si="42"/>
        <v>378</v>
      </c>
      <c r="B396" s="368"/>
      <c r="C396" s="368"/>
      <c r="D396" s="369"/>
      <c r="E396" s="85" t="s">
        <v>276</v>
      </c>
      <c r="F396" s="79"/>
      <c r="G396" s="79"/>
      <c r="H396" s="79"/>
      <c r="I396" s="79"/>
      <c r="J396" s="450"/>
      <c r="K396" s="79"/>
      <c r="L396" s="218"/>
      <c r="N396" s="123"/>
      <c r="O396" s="123"/>
      <c r="P396" s="123"/>
      <c r="Q396" s="123"/>
      <c r="R396" s="123"/>
      <c r="S396" s="123"/>
      <c r="T396" s="123"/>
      <c r="U396" s="123"/>
      <c r="V396" s="123"/>
      <c r="W396" s="123"/>
    </row>
    <row r="397" spans="1:23" ht="12.75">
      <c r="A397" s="367">
        <f t="shared" si="42"/>
        <v>379</v>
      </c>
      <c r="B397" s="368"/>
      <c r="C397" s="368"/>
      <c r="D397" s="369"/>
      <c r="E397" s="59" t="s">
        <v>249</v>
      </c>
      <c r="F397" s="49">
        <f>+F398+F401+F402</f>
        <v>0</v>
      </c>
      <c r="G397" s="50">
        <f aca="true" t="shared" si="45" ref="G397:G409">H397+I397+J397+K397</f>
        <v>12592</v>
      </c>
      <c r="H397" s="49">
        <f>+H398+H401+H402+H406</f>
        <v>0</v>
      </c>
      <c r="I397" s="49">
        <f>+I398+I401+I402+I406</f>
        <v>229</v>
      </c>
      <c r="J397" s="209">
        <f>+J398+J401+J402+J406</f>
        <v>4016</v>
      </c>
      <c r="K397" s="49">
        <f>+K398+K401+K402+K406</f>
        <v>8347</v>
      </c>
      <c r="L397" s="218"/>
      <c r="N397" s="123"/>
      <c r="O397" s="123"/>
      <c r="P397" s="123"/>
      <c r="Q397" s="123"/>
      <c r="R397" s="123"/>
      <c r="S397" s="123"/>
      <c r="T397" s="123"/>
      <c r="U397" s="123"/>
      <c r="V397" s="123"/>
      <c r="W397" s="123"/>
    </row>
    <row r="398" spans="1:23" ht="12.75">
      <c r="A398" s="367">
        <f t="shared" si="42"/>
        <v>380</v>
      </c>
      <c r="B398" s="368"/>
      <c r="C398" s="377" t="s">
        <v>108</v>
      </c>
      <c r="D398" s="369"/>
      <c r="E398" s="59" t="s">
        <v>250</v>
      </c>
      <c r="F398" s="49">
        <f>+F399+F400</f>
        <v>0</v>
      </c>
      <c r="G398" s="50">
        <f t="shared" si="45"/>
        <v>0</v>
      </c>
      <c r="H398" s="49">
        <f>+H399+H400</f>
        <v>0</v>
      </c>
      <c r="I398" s="49">
        <f>+I399+I400</f>
        <v>0</v>
      </c>
      <c r="J398" s="209">
        <f>+J399+J400</f>
        <v>0</v>
      </c>
      <c r="K398" s="49">
        <f>+K399+K400</f>
        <v>0</v>
      </c>
      <c r="L398" s="218"/>
      <c r="N398" s="123"/>
      <c r="O398" s="123"/>
      <c r="P398" s="123"/>
      <c r="Q398" s="123"/>
      <c r="R398" s="123"/>
      <c r="S398" s="123"/>
      <c r="T398" s="123"/>
      <c r="U398" s="123"/>
      <c r="V398" s="123"/>
      <c r="W398" s="123"/>
    </row>
    <row r="399" spans="1:23" ht="12.75">
      <c r="A399" s="367">
        <f t="shared" si="42"/>
        <v>381</v>
      </c>
      <c r="B399" s="368"/>
      <c r="C399" s="368"/>
      <c r="D399" s="379" t="s">
        <v>80</v>
      </c>
      <c r="E399" s="66" t="s">
        <v>251</v>
      </c>
      <c r="F399" s="375">
        <v>0</v>
      </c>
      <c r="G399" s="79">
        <f t="shared" si="45"/>
        <v>0</v>
      </c>
      <c r="H399" s="375">
        <v>0</v>
      </c>
      <c r="I399" s="375">
        <v>0</v>
      </c>
      <c r="J399" s="447">
        <v>0</v>
      </c>
      <c r="K399" s="375">
        <v>0</v>
      </c>
      <c r="L399" s="218"/>
      <c r="N399" s="123"/>
      <c r="O399" s="123"/>
      <c r="P399" s="123"/>
      <c r="Q399" s="123"/>
      <c r="R399" s="123"/>
      <c r="S399" s="123"/>
      <c r="T399" s="123"/>
      <c r="U399" s="123"/>
      <c r="V399" s="123"/>
      <c r="W399" s="123"/>
    </row>
    <row r="400" spans="1:23" ht="12.75">
      <c r="A400" s="367">
        <f t="shared" si="42"/>
        <v>382</v>
      </c>
      <c r="B400" s="368"/>
      <c r="C400" s="368"/>
      <c r="D400" s="369">
        <v>50</v>
      </c>
      <c r="E400" s="66" t="s">
        <v>278</v>
      </c>
      <c r="F400" s="375"/>
      <c r="G400" s="79">
        <f t="shared" si="45"/>
        <v>0</v>
      </c>
      <c r="H400" s="375"/>
      <c r="I400" s="375"/>
      <c r="J400" s="447"/>
      <c r="K400" s="375"/>
      <c r="L400" s="218"/>
      <c r="N400" s="123"/>
      <c r="O400" s="123"/>
      <c r="P400" s="123"/>
      <c r="Q400" s="123"/>
      <c r="R400" s="123"/>
      <c r="S400" s="123"/>
      <c r="T400" s="123"/>
      <c r="U400" s="123"/>
      <c r="V400" s="123"/>
      <c r="W400" s="123"/>
    </row>
    <row r="401" spans="1:23" ht="12.75">
      <c r="A401" s="367">
        <f t="shared" si="42"/>
        <v>383</v>
      </c>
      <c r="B401" s="368"/>
      <c r="C401" s="377" t="s">
        <v>41</v>
      </c>
      <c r="D401" s="369"/>
      <c r="E401" s="59" t="s">
        <v>253</v>
      </c>
      <c r="F401" s="375">
        <v>0</v>
      </c>
      <c r="G401" s="79">
        <f t="shared" si="45"/>
        <v>0</v>
      </c>
      <c r="H401" s="375">
        <v>0</v>
      </c>
      <c r="I401" s="375">
        <v>0</v>
      </c>
      <c r="J401" s="447">
        <v>0</v>
      </c>
      <c r="K401" s="375">
        <v>0</v>
      </c>
      <c r="L401" s="218"/>
      <c r="N401" s="123"/>
      <c r="O401" s="123"/>
      <c r="P401" s="123"/>
      <c r="Q401" s="123"/>
      <c r="R401" s="123"/>
      <c r="S401" s="123"/>
      <c r="T401" s="123"/>
      <c r="U401" s="123"/>
      <c r="V401" s="123"/>
      <c r="W401" s="123"/>
    </row>
    <row r="402" spans="1:23" ht="12.75">
      <c r="A402" s="367">
        <f t="shared" si="42"/>
        <v>384</v>
      </c>
      <c r="B402" s="368"/>
      <c r="C402" s="377" t="s">
        <v>154</v>
      </c>
      <c r="D402" s="369"/>
      <c r="E402" s="59" t="s">
        <v>289</v>
      </c>
      <c r="F402" s="49">
        <f>+F403+F404</f>
        <v>0</v>
      </c>
      <c r="G402" s="50">
        <f t="shared" si="45"/>
        <v>12592</v>
      </c>
      <c r="H402" s="49">
        <f>+H403+H404+H405</f>
        <v>0</v>
      </c>
      <c r="I402" s="49">
        <f>+I403+I404+I405</f>
        <v>229</v>
      </c>
      <c r="J402" s="209">
        <f>+J403+J404+J405</f>
        <v>4016</v>
      </c>
      <c r="K402" s="49">
        <f>+K403+K404+K405</f>
        <v>8347</v>
      </c>
      <c r="L402" s="218"/>
      <c r="N402" s="123"/>
      <c r="O402" s="123"/>
      <c r="P402" s="123"/>
      <c r="Q402" s="123"/>
      <c r="R402" s="123"/>
      <c r="S402" s="123"/>
      <c r="T402" s="123"/>
      <c r="U402" s="123"/>
      <c r="V402" s="123"/>
      <c r="W402" s="123"/>
    </row>
    <row r="403" spans="1:23" ht="12.75">
      <c r="A403" s="367">
        <f t="shared" si="42"/>
        <v>385</v>
      </c>
      <c r="B403" s="368"/>
      <c r="C403" s="368"/>
      <c r="D403" s="379" t="s">
        <v>47</v>
      </c>
      <c r="E403" s="66" t="s">
        <v>255</v>
      </c>
      <c r="F403" s="375"/>
      <c r="G403" s="199">
        <f t="shared" si="45"/>
        <v>12592</v>
      </c>
      <c r="H403" s="375">
        <v>0</v>
      </c>
      <c r="I403" s="375">
        <v>229</v>
      </c>
      <c r="J403" s="447">
        <v>4016</v>
      </c>
      <c r="K403" s="375">
        <v>8347</v>
      </c>
      <c r="L403" s="218"/>
      <c r="N403" s="123"/>
      <c r="O403" s="123"/>
      <c r="P403" s="123"/>
      <c r="Q403" s="123"/>
      <c r="R403" s="123"/>
      <c r="S403" s="123"/>
      <c r="T403" s="123"/>
      <c r="U403" s="123"/>
      <c r="V403" s="123"/>
      <c r="W403" s="123"/>
    </row>
    <row r="404" spans="1:23" ht="12.75">
      <c r="A404" s="367">
        <f t="shared" si="42"/>
        <v>386</v>
      </c>
      <c r="B404" s="368"/>
      <c r="C404" s="368"/>
      <c r="D404" s="379" t="s">
        <v>154</v>
      </c>
      <c r="E404" s="66" t="s">
        <v>256</v>
      </c>
      <c r="F404" s="375"/>
      <c r="G404" s="79">
        <f t="shared" si="45"/>
        <v>0</v>
      </c>
      <c r="H404" s="375"/>
      <c r="I404" s="375"/>
      <c r="J404" s="447"/>
      <c r="K404" s="375"/>
      <c r="L404" s="218"/>
      <c r="N404" s="123"/>
      <c r="O404" s="123"/>
      <c r="P404" s="123"/>
      <c r="Q404" s="123"/>
      <c r="R404" s="123"/>
      <c r="S404" s="123"/>
      <c r="T404" s="123"/>
      <c r="U404" s="123"/>
      <c r="V404" s="123"/>
      <c r="W404" s="123"/>
    </row>
    <row r="405" spans="1:23" ht="12.75">
      <c r="A405" s="367">
        <f t="shared" si="42"/>
        <v>387</v>
      </c>
      <c r="B405" s="368"/>
      <c r="C405" s="379">
        <v>10</v>
      </c>
      <c r="D405" s="379"/>
      <c r="E405" s="66" t="s">
        <v>290</v>
      </c>
      <c r="F405" s="375"/>
      <c r="G405" s="79">
        <f t="shared" si="45"/>
        <v>0</v>
      </c>
      <c r="H405" s="375"/>
      <c r="I405" s="375"/>
      <c r="J405" s="447"/>
      <c r="K405" s="375"/>
      <c r="L405" s="218"/>
      <c r="N405" s="123"/>
      <c r="O405" s="123"/>
      <c r="P405" s="123"/>
      <c r="Q405" s="123"/>
      <c r="R405" s="123"/>
      <c r="S405" s="123"/>
      <c r="T405" s="123"/>
      <c r="U405" s="123"/>
      <c r="V405" s="123"/>
      <c r="W405" s="123"/>
    </row>
    <row r="406" spans="1:23" ht="12.75">
      <c r="A406" s="367">
        <f t="shared" si="42"/>
        <v>388</v>
      </c>
      <c r="B406" s="368"/>
      <c r="C406" s="421">
        <v>50</v>
      </c>
      <c r="D406" s="421"/>
      <c r="E406" s="59" t="s">
        <v>291</v>
      </c>
      <c r="F406" s="168"/>
      <c r="G406" s="50">
        <f t="shared" si="45"/>
        <v>0</v>
      </c>
      <c r="H406" s="168">
        <f>H407+H408</f>
        <v>0</v>
      </c>
      <c r="I406" s="168">
        <f>I407+I408</f>
        <v>0</v>
      </c>
      <c r="J406" s="212">
        <f>J407+J408</f>
        <v>0</v>
      </c>
      <c r="K406" s="168">
        <f>K407+K408</f>
        <v>0</v>
      </c>
      <c r="L406" s="218"/>
      <c r="N406" s="123"/>
      <c r="O406" s="123"/>
      <c r="P406" s="123"/>
      <c r="Q406" s="123"/>
      <c r="R406" s="123"/>
      <c r="S406" s="123"/>
      <c r="T406" s="123"/>
      <c r="U406" s="123"/>
      <c r="V406" s="123"/>
      <c r="W406" s="123"/>
    </row>
    <row r="407" spans="1:23" ht="12.75">
      <c r="A407" s="367">
        <f t="shared" si="42"/>
        <v>389</v>
      </c>
      <c r="B407" s="368"/>
      <c r="C407" s="368"/>
      <c r="D407" s="379" t="s">
        <v>47</v>
      </c>
      <c r="E407" s="66" t="s">
        <v>259</v>
      </c>
      <c r="F407" s="375"/>
      <c r="G407" s="79">
        <f t="shared" si="45"/>
        <v>0</v>
      </c>
      <c r="H407" s="375"/>
      <c r="I407" s="375"/>
      <c r="J407" s="447"/>
      <c r="K407" s="375"/>
      <c r="L407" s="218"/>
      <c r="N407" s="123"/>
      <c r="O407" s="123"/>
      <c r="P407" s="123"/>
      <c r="Q407" s="123"/>
      <c r="R407" s="123"/>
      <c r="S407" s="123"/>
      <c r="T407" s="123"/>
      <c r="U407" s="123"/>
      <c r="V407" s="123"/>
      <c r="W407" s="123"/>
    </row>
    <row r="408" spans="1:23" ht="12.75">
      <c r="A408" s="367">
        <f t="shared" si="42"/>
        <v>390</v>
      </c>
      <c r="B408" s="368"/>
      <c r="C408" s="368"/>
      <c r="D408" s="379">
        <v>50</v>
      </c>
      <c r="E408" s="66" t="s">
        <v>292</v>
      </c>
      <c r="F408" s="375"/>
      <c r="G408" s="79">
        <f t="shared" si="45"/>
        <v>0</v>
      </c>
      <c r="H408" s="375"/>
      <c r="I408" s="375"/>
      <c r="J408" s="447"/>
      <c r="K408" s="375"/>
      <c r="L408" s="218"/>
      <c r="N408" s="123"/>
      <c r="O408" s="123"/>
      <c r="P408" s="123"/>
      <c r="Q408" s="123"/>
      <c r="R408" s="123"/>
      <c r="S408" s="123"/>
      <c r="T408" s="123"/>
      <c r="U408" s="123"/>
      <c r="V408" s="123"/>
      <c r="W408" s="123"/>
    </row>
    <row r="409" spans="1:23" ht="12.75">
      <c r="A409" s="367">
        <f>A408+1</f>
        <v>391</v>
      </c>
      <c r="B409" s="368"/>
      <c r="C409" s="368"/>
      <c r="D409" s="369"/>
      <c r="E409" s="407" t="s">
        <v>293</v>
      </c>
      <c r="F409" s="49">
        <f>+F411+F499</f>
        <v>0</v>
      </c>
      <c r="G409" s="50">
        <f t="shared" si="45"/>
        <v>4685.64</v>
      </c>
      <c r="H409" s="49">
        <f>+H411+H499</f>
        <v>0</v>
      </c>
      <c r="I409" s="49">
        <f>+I411+I499</f>
        <v>1936.3</v>
      </c>
      <c r="J409" s="209">
        <f>+J411+J499</f>
        <v>1828.3400000000001</v>
      </c>
      <c r="K409" s="49">
        <f>+K411+K499</f>
        <v>921</v>
      </c>
      <c r="L409" s="218">
        <v>4685.64</v>
      </c>
      <c r="M409">
        <v>0</v>
      </c>
      <c r="N409" s="123">
        <v>0</v>
      </c>
      <c r="O409" s="123">
        <v>4814.64</v>
      </c>
      <c r="P409" s="123">
        <v>-129</v>
      </c>
      <c r="Q409" s="123"/>
      <c r="R409" s="123"/>
      <c r="S409" s="123"/>
      <c r="T409" s="123"/>
      <c r="U409" s="123"/>
      <c r="V409" s="123"/>
      <c r="W409" s="123"/>
    </row>
    <row r="410" spans="1:23" ht="12.75">
      <c r="A410" s="367"/>
      <c r="B410" s="368" t="s">
        <v>59</v>
      </c>
      <c r="C410" s="368" t="s">
        <v>60</v>
      </c>
      <c r="D410" s="86" t="s">
        <v>61</v>
      </c>
      <c r="E410" s="66"/>
      <c r="F410" s="79"/>
      <c r="G410" s="79"/>
      <c r="H410" s="79"/>
      <c r="I410" s="79"/>
      <c r="J410" s="450"/>
      <c r="K410" s="79"/>
      <c r="L410" s="218"/>
      <c r="N410" s="123"/>
      <c r="O410" s="123"/>
      <c r="P410" s="123"/>
      <c r="Q410" s="123"/>
      <c r="R410" s="123"/>
      <c r="S410" s="123"/>
      <c r="T410" s="123"/>
      <c r="U410" s="123"/>
      <c r="V410" s="123"/>
      <c r="W410" s="123"/>
    </row>
    <row r="411" spans="1:23" ht="12.75">
      <c r="A411" s="367">
        <f>A409+1</f>
        <v>392</v>
      </c>
      <c r="B411" s="368"/>
      <c r="C411" s="368"/>
      <c r="D411" s="369"/>
      <c r="E411" s="85" t="s">
        <v>136</v>
      </c>
      <c r="F411" s="49">
        <f>+F412+F446+F488+F491+F492</f>
        <v>0</v>
      </c>
      <c r="G411" s="50">
        <f aca="true" t="shared" si="46" ref="G411:G474">H411+I411+J411+K411</f>
        <v>607.34</v>
      </c>
      <c r="H411" s="166">
        <f>+H412+H446+H488</f>
        <v>0</v>
      </c>
      <c r="I411" s="166">
        <f>+I412+I446</f>
        <v>0</v>
      </c>
      <c r="J411" s="461">
        <f>+J412+J446</f>
        <v>278.34000000000003</v>
      </c>
      <c r="K411" s="166">
        <f>+K412+K446</f>
        <v>329</v>
      </c>
      <c r="L411" s="218"/>
      <c r="N411" s="123"/>
      <c r="O411" s="123"/>
      <c r="P411" s="123"/>
      <c r="Q411" s="123"/>
      <c r="R411" s="123"/>
      <c r="S411" s="123"/>
      <c r="T411" s="123"/>
      <c r="U411" s="123"/>
      <c r="V411" s="123"/>
      <c r="W411" s="123"/>
    </row>
    <row r="412" spans="1:23" ht="12.75">
      <c r="A412" s="367">
        <f aca="true" t="shared" si="47" ref="A412:A475">A411+1</f>
        <v>393</v>
      </c>
      <c r="B412" s="368"/>
      <c r="C412" s="368">
        <v>10</v>
      </c>
      <c r="D412" s="369"/>
      <c r="E412" s="85" t="s">
        <v>263</v>
      </c>
      <c r="F412" s="49">
        <f>+F413+F431+F438</f>
        <v>0</v>
      </c>
      <c r="G412" s="50">
        <f t="shared" si="46"/>
        <v>0</v>
      </c>
      <c r="H412" s="166">
        <f>+H413+H431+H438</f>
        <v>0</v>
      </c>
      <c r="I412" s="166">
        <f>+I413+I431+I438</f>
        <v>0</v>
      </c>
      <c r="J412" s="461">
        <f>+J413+J431+J438</f>
        <v>0</v>
      </c>
      <c r="K412" s="166">
        <f>+K413+K431+K438</f>
        <v>0</v>
      </c>
      <c r="L412" s="218"/>
      <c r="N412" s="123"/>
      <c r="O412" s="123"/>
      <c r="P412" s="123"/>
      <c r="Q412" s="123"/>
      <c r="R412" s="123"/>
      <c r="S412" s="123"/>
      <c r="T412" s="123"/>
      <c r="U412" s="123"/>
      <c r="V412" s="123"/>
      <c r="W412" s="123"/>
    </row>
    <row r="413" spans="1:23" ht="12.75">
      <c r="A413" s="367">
        <f t="shared" si="47"/>
        <v>394</v>
      </c>
      <c r="B413" s="368"/>
      <c r="C413" s="377" t="s">
        <v>47</v>
      </c>
      <c r="D413" s="369"/>
      <c r="E413" s="85" t="s">
        <v>142</v>
      </c>
      <c r="F413" s="49">
        <f>+F414+F415+F416+F417+F418+F419+F420+F421+F422+F423+F424+F425+F426+F427+F428+F429+F430</f>
        <v>0</v>
      </c>
      <c r="G413" s="50">
        <f t="shared" si="46"/>
        <v>0</v>
      </c>
      <c r="H413" s="166">
        <f>+H414+H415+H416+H417+H418+H419+H420+H421+H422+H423+H424+H425+H426+H427+H428+H429+H430</f>
        <v>0</v>
      </c>
      <c r="I413" s="166">
        <f>+I414+I415+I416+I417+I418+I419+I420+I421+I422+I423+I424+I425+I426+I427+I428+I429+I430</f>
        <v>0</v>
      </c>
      <c r="J413" s="461">
        <f>+J414+J415+J416+J417+J418+J419+J420+J421+J422+J423+J424+J425+J426+J427+J428+J429+J430</f>
        <v>0</v>
      </c>
      <c r="K413" s="166">
        <f>+K414+K415+K416+K417+K418+K419+K420+K421+K422+K423+K424+K425+K426+K427+K428+K429+K430</f>
        <v>0</v>
      </c>
      <c r="L413" s="218"/>
      <c r="N413" s="123"/>
      <c r="O413" s="123"/>
      <c r="P413" s="123"/>
      <c r="Q413" s="123"/>
      <c r="R413" s="123"/>
      <c r="S413" s="123"/>
      <c r="T413" s="123"/>
      <c r="U413" s="123"/>
      <c r="V413" s="123"/>
      <c r="W413" s="123"/>
    </row>
    <row r="414" spans="1:23" ht="12.75">
      <c r="A414" s="367">
        <f t="shared" si="47"/>
        <v>395</v>
      </c>
      <c r="B414" s="368"/>
      <c r="C414" s="368"/>
      <c r="D414" s="379" t="s">
        <v>47</v>
      </c>
      <c r="E414" s="66" t="s">
        <v>144</v>
      </c>
      <c r="F414" s="375"/>
      <c r="G414" s="79">
        <f t="shared" si="46"/>
        <v>0</v>
      </c>
      <c r="H414" s="77"/>
      <c r="I414" s="77"/>
      <c r="J414" s="464"/>
      <c r="K414" s="77"/>
      <c r="L414" s="218"/>
      <c r="N414" s="123"/>
      <c r="O414" s="123"/>
      <c r="P414" s="123"/>
      <c r="Q414" s="123"/>
      <c r="R414" s="123"/>
      <c r="S414" s="123"/>
      <c r="T414" s="123"/>
      <c r="U414" s="123"/>
      <c r="V414" s="123"/>
      <c r="W414" s="123"/>
    </row>
    <row r="415" spans="1:23" ht="12.75">
      <c r="A415" s="367">
        <f t="shared" si="47"/>
        <v>396</v>
      </c>
      <c r="B415" s="368"/>
      <c r="C415" s="368"/>
      <c r="D415" s="379" t="s">
        <v>80</v>
      </c>
      <c r="E415" s="66" t="s">
        <v>146</v>
      </c>
      <c r="F415" s="375"/>
      <c r="G415" s="79">
        <f t="shared" si="46"/>
        <v>0</v>
      </c>
      <c r="H415" s="77"/>
      <c r="I415" s="77"/>
      <c r="J415" s="464"/>
      <c r="K415" s="77"/>
      <c r="L415" s="218"/>
      <c r="N415" s="123"/>
      <c r="O415" s="123"/>
      <c r="P415" s="123"/>
      <c r="Q415" s="123"/>
      <c r="R415" s="123"/>
      <c r="S415" s="123"/>
      <c r="T415" s="123"/>
      <c r="U415" s="123"/>
      <c r="V415" s="123"/>
      <c r="W415" s="123"/>
    </row>
    <row r="416" spans="1:23" ht="12.75">
      <c r="A416" s="367">
        <f t="shared" si="47"/>
        <v>397</v>
      </c>
      <c r="B416" s="368"/>
      <c r="C416" s="368"/>
      <c r="D416" s="379" t="s">
        <v>84</v>
      </c>
      <c r="E416" s="66" t="s">
        <v>148</v>
      </c>
      <c r="F416" s="375"/>
      <c r="G416" s="79">
        <f t="shared" si="46"/>
        <v>0</v>
      </c>
      <c r="H416" s="77"/>
      <c r="I416" s="77"/>
      <c r="J416" s="464"/>
      <c r="K416" s="77"/>
      <c r="L416" s="218"/>
      <c r="N416" s="123"/>
      <c r="O416" s="123"/>
      <c r="P416" s="123"/>
      <c r="Q416" s="123"/>
      <c r="R416" s="123"/>
      <c r="S416" s="123"/>
      <c r="T416" s="123"/>
      <c r="U416" s="123"/>
      <c r="V416" s="123"/>
      <c r="W416" s="123"/>
    </row>
    <row r="417" spans="1:23" ht="12.75">
      <c r="A417" s="367">
        <f t="shared" si="47"/>
        <v>398</v>
      </c>
      <c r="B417" s="368"/>
      <c r="C417" s="368"/>
      <c r="D417" s="379" t="s">
        <v>108</v>
      </c>
      <c r="E417" s="66" t="s">
        <v>150</v>
      </c>
      <c r="F417" s="375"/>
      <c r="G417" s="79">
        <f t="shared" si="46"/>
        <v>0</v>
      </c>
      <c r="H417" s="77"/>
      <c r="I417" s="77"/>
      <c r="J417" s="464"/>
      <c r="K417" s="77"/>
      <c r="L417" s="218"/>
      <c r="N417" s="123"/>
      <c r="O417" s="123"/>
      <c r="P417" s="123"/>
      <c r="Q417" s="123"/>
      <c r="R417" s="123"/>
      <c r="S417" s="123"/>
      <c r="T417" s="123"/>
      <c r="U417" s="123"/>
      <c r="V417" s="123"/>
      <c r="W417" s="123"/>
    </row>
    <row r="418" spans="1:23" ht="12.75">
      <c r="A418" s="367">
        <f t="shared" si="47"/>
        <v>399</v>
      </c>
      <c r="B418" s="368"/>
      <c r="C418" s="368"/>
      <c r="D418" s="379" t="s">
        <v>41</v>
      </c>
      <c r="E418" s="66" t="s">
        <v>152</v>
      </c>
      <c r="F418" s="375"/>
      <c r="G418" s="79">
        <f t="shared" si="46"/>
        <v>0</v>
      </c>
      <c r="H418" s="77"/>
      <c r="I418" s="77"/>
      <c r="J418" s="464"/>
      <c r="K418" s="77"/>
      <c r="L418" s="218"/>
      <c r="N418" s="123"/>
      <c r="O418" s="123"/>
      <c r="P418" s="123"/>
      <c r="Q418" s="123"/>
      <c r="R418" s="123"/>
      <c r="S418" s="123"/>
      <c r="T418" s="123"/>
      <c r="U418" s="123"/>
      <c r="V418" s="123"/>
      <c r="W418" s="123"/>
    </row>
    <row r="419" spans="1:23" ht="12.75">
      <c r="A419" s="367">
        <f t="shared" si="47"/>
        <v>400</v>
      </c>
      <c r="B419" s="368"/>
      <c r="C419" s="368"/>
      <c r="D419" s="379" t="s">
        <v>154</v>
      </c>
      <c r="E419" s="66" t="s">
        <v>155</v>
      </c>
      <c r="F419" s="375"/>
      <c r="G419" s="79">
        <f t="shared" si="46"/>
        <v>0</v>
      </c>
      <c r="H419" s="77"/>
      <c r="I419" s="77"/>
      <c r="J419" s="464"/>
      <c r="K419" s="77"/>
      <c r="L419" s="218"/>
      <c r="N419" s="123"/>
      <c r="O419" s="123"/>
      <c r="P419" s="123"/>
      <c r="Q419" s="123"/>
      <c r="R419" s="123"/>
      <c r="S419" s="123"/>
      <c r="T419" s="123"/>
      <c r="U419" s="123"/>
      <c r="V419" s="123"/>
      <c r="W419" s="123"/>
    </row>
    <row r="420" spans="1:23" ht="12.75">
      <c r="A420" s="367">
        <f t="shared" si="47"/>
        <v>401</v>
      </c>
      <c r="B420" s="368"/>
      <c r="C420" s="368"/>
      <c r="D420" s="379" t="s">
        <v>157</v>
      </c>
      <c r="E420" s="66" t="s">
        <v>158</v>
      </c>
      <c r="F420" s="375"/>
      <c r="G420" s="79">
        <f t="shared" si="46"/>
        <v>0</v>
      </c>
      <c r="H420" s="77"/>
      <c r="I420" s="77"/>
      <c r="J420" s="464"/>
      <c r="K420" s="77"/>
      <c r="L420" s="218"/>
      <c r="N420" s="123"/>
      <c r="O420" s="123"/>
      <c r="P420" s="123"/>
      <c r="Q420" s="123"/>
      <c r="R420" s="123"/>
      <c r="S420" s="123"/>
      <c r="T420" s="123"/>
      <c r="U420" s="123"/>
      <c r="V420" s="123"/>
      <c r="W420" s="123"/>
    </row>
    <row r="421" spans="1:23" ht="12.75">
      <c r="A421" s="367">
        <f t="shared" si="47"/>
        <v>402</v>
      </c>
      <c r="B421" s="368"/>
      <c r="C421" s="368"/>
      <c r="D421" s="379" t="s">
        <v>65</v>
      </c>
      <c r="E421" s="66" t="s">
        <v>159</v>
      </c>
      <c r="F421" s="375"/>
      <c r="G421" s="79">
        <f t="shared" si="46"/>
        <v>0</v>
      </c>
      <c r="H421" s="77"/>
      <c r="I421" s="77"/>
      <c r="J421" s="464"/>
      <c r="K421" s="77"/>
      <c r="L421" s="218"/>
      <c r="N421" s="123"/>
      <c r="O421" s="123"/>
      <c r="P421" s="123"/>
      <c r="Q421" s="123"/>
      <c r="R421" s="123"/>
      <c r="S421" s="123"/>
      <c r="T421" s="123"/>
      <c r="U421" s="123"/>
      <c r="V421" s="123"/>
      <c r="W421" s="123"/>
    </row>
    <row r="422" spans="1:23" ht="12.75">
      <c r="A422" s="367">
        <f t="shared" si="47"/>
        <v>403</v>
      </c>
      <c r="B422" s="368"/>
      <c r="C422" s="368"/>
      <c r="D422" s="379" t="s">
        <v>160</v>
      </c>
      <c r="E422" s="66" t="s">
        <v>264</v>
      </c>
      <c r="F422" s="375"/>
      <c r="G422" s="79">
        <f t="shared" si="46"/>
        <v>0</v>
      </c>
      <c r="H422" s="77"/>
      <c r="I422" s="77"/>
      <c r="J422" s="464"/>
      <c r="K422" s="77"/>
      <c r="L422" s="218"/>
      <c r="N422" s="123"/>
      <c r="O422" s="123"/>
      <c r="P422" s="123"/>
      <c r="Q422" s="123"/>
      <c r="R422" s="123"/>
      <c r="S422" s="123"/>
      <c r="T422" s="123"/>
      <c r="U422" s="123"/>
      <c r="V422" s="123"/>
      <c r="W422" s="123"/>
    </row>
    <row r="423" spans="1:23" ht="12.75">
      <c r="A423" s="367">
        <f t="shared" si="47"/>
        <v>404</v>
      </c>
      <c r="B423" s="368"/>
      <c r="C423" s="368"/>
      <c r="D423" s="369">
        <v>10</v>
      </c>
      <c r="E423" s="66" t="s">
        <v>162</v>
      </c>
      <c r="F423" s="375"/>
      <c r="G423" s="79">
        <f t="shared" si="46"/>
        <v>0</v>
      </c>
      <c r="H423" s="77"/>
      <c r="I423" s="77"/>
      <c r="J423" s="464"/>
      <c r="K423" s="77"/>
      <c r="L423" s="218"/>
      <c r="N423" s="123"/>
      <c r="O423" s="123"/>
      <c r="P423" s="123"/>
      <c r="Q423" s="123"/>
      <c r="R423" s="123"/>
      <c r="S423" s="123"/>
      <c r="T423" s="123"/>
      <c r="U423" s="123"/>
      <c r="V423" s="123"/>
      <c r="W423" s="123"/>
    </row>
    <row r="424" spans="1:23" ht="12.75">
      <c r="A424" s="367">
        <f t="shared" si="47"/>
        <v>405</v>
      </c>
      <c r="B424" s="368"/>
      <c r="C424" s="368"/>
      <c r="D424" s="369">
        <v>11</v>
      </c>
      <c r="E424" s="66" t="s">
        <v>163</v>
      </c>
      <c r="F424" s="375"/>
      <c r="G424" s="79">
        <f t="shared" si="46"/>
        <v>0</v>
      </c>
      <c r="H424" s="77"/>
      <c r="I424" s="77"/>
      <c r="J424" s="464"/>
      <c r="K424" s="77"/>
      <c r="L424" s="218"/>
      <c r="N424" s="123"/>
      <c r="O424" s="123"/>
      <c r="P424" s="123"/>
      <c r="Q424" s="123"/>
      <c r="R424" s="123"/>
      <c r="S424" s="123"/>
      <c r="T424" s="123"/>
      <c r="U424" s="123"/>
      <c r="V424" s="123"/>
      <c r="W424" s="123"/>
    </row>
    <row r="425" spans="1:23" ht="12.75">
      <c r="A425" s="367">
        <f t="shared" si="47"/>
        <v>406</v>
      </c>
      <c r="B425" s="368"/>
      <c r="C425" s="368"/>
      <c r="D425" s="369">
        <v>12</v>
      </c>
      <c r="E425" s="66" t="s">
        <v>164</v>
      </c>
      <c r="F425" s="375"/>
      <c r="G425" s="79">
        <f t="shared" si="46"/>
        <v>0</v>
      </c>
      <c r="H425" s="77"/>
      <c r="I425" s="77"/>
      <c r="J425" s="464"/>
      <c r="K425" s="77"/>
      <c r="L425" s="218"/>
      <c r="N425" s="123"/>
      <c r="O425" s="123"/>
      <c r="P425" s="123"/>
      <c r="Q425" s="123"/>
      <c r="R425" s="123"/>
      <c r="S425" s="123"/>
      <c r="T425" s="123"/>
      <c r="U425" s="123"/>
      <c r="V425" s="123"/>
      <c r="W425" s="123"/>
    </row>
    <row r="426" spans="1:23" ht="12.75">
      <c r="A426" s="367">
        <f t="shared" si="47"/>
        <v>407</v>
      </c>
      <c r="B426" s="368"/>
      <c r="C426" s="368"/>
      <c r="D426" s="369">
        <v>13</v>
      </c>
      <c r="E426" s="66" t="s">
        <v>165</v>
      </c>
      <c r="F426" s="375"/>
      <c r="G426" s="79">
        <f t="shared" si="46"/>
        <v>0</v>
      </c>
      <c r="H426" s="77"/>
      <c r="I426" s="77"/>
      <c r="J426" s="464"/>
      <c r="K426" s="77"/>
      <c r="L426" s="218"/>
      <c r="N426" s="123"/>
      <c r="O426" s="123"/>
      <c r="P426" s="123"/>
      <c r="Q426" s="123"/>
      <c r="R426" s="123"/>
      <c r="S426" s="123"/>
      <c r="T426" s="123"/>
      <c r="U426" s="123"/>
      <c r="V426" s="123"/>
      <c r="W426" s="123"/>
    </row>
    <row r="427" spans="1:23" ht="12.75">
      <c r="A427" s="367">
        <f t="shared" si="47"/>
        <v>408</v>
      </c>
      <c r="B427" s="368"/>
      <c r="C427" s="368"/>
      <c r="D427" s="369">
        <v>14</v>
      </c>
      <c r="E427" s="66" t="s">
        <v>166</v>
      </c>
      <c r="F427" s="375"/>
      <c r="G427" s="79">
        <f t="shared" si="46"/>
        <v>0</v>
      </c>
      <c r="H427" s="77"/>
      <c r="I427" s="77"/>
      <c r="J427" s="464"/>
      <c r="K427" s="77"/>
      <c r="L427" s="218"/>
      <c r="N427" s="123"/>
      <c r="O427" s="123"/>
      <c r="P427" s="123"/>
      <c r="Q427" s="123"/>
      <c r="R427" s="123"/>
      <c r="S427" s="123"/>
      <c r="T427" s="123"/>
      <c r="U427" s="123"/>
      <c r="V427" s="123"/>
      <c r="W427" s="123"/>
    </row>
    <row r="428" spans="1:23" ht="12.75">
      <c r="A428" s="367">
        <f t="shared" si="47"/>
        <v>409</v>
      </c>
      <c r="B428" s="368"/>
      <c r="C428" s="368"/>
      <c r="D428" s="369">
        <v>15</v>
      </c>
      <c r="E428" s="66" t="s">
        <v>167</v>
      </c>
      <c r="F428" s="375"/>
      <c r="G428" s="79">
        <f t="shared" si="46"/>
        <v>0</v>
      </c>
      <c r="H428" s="77"/>
      <c r="I428" s="77"/>
      <c r="J428" s="464"/>
      <c r="K428" s="77"/>
      <c r="L428" s="218"/>
      <c r="N428" s="123"/>
      <c r="O428" s="123"/>
      <c r="P428" s="123"/>
      <c r="Q428" s="123"/>
      <c r="R428" s="123"/>
      <c r="S428" s="123"/>
      <c r="T428" s="123"/>
      <c r="U428" s="123"/>
      <c r="V428" s="123"/>
      <c r="W428" s="123"/>
    </row>
    <row r="429" spans="1:23" ht="12.75">
      <c r="A429" s="367">
        <f t="shared" si="47"/>
        <v>410</v>
      </c>
      <c r="B429" s="368"/>
      <c r="C429" s="368"/>
      <c r="D429" s="369">
        <v>16</v>
      </c>
      <c r="E429" s="66" t="s">
        <v>168</v>
      </c>
      <c r="F429" s="375"/>
      <c r="G429" s="79">
        <f t="shared" si="46"/>
        <v>0</v>
      </c>
      <c r="H429" s="77"/>
      <c r="I429" s="77"/>
      <c r="J429" s="464"/>
      <c r="K429" s="77"/>
      <c r="L429" s="218"/>
      <c r="N429" s="123"/>
      <c r="O429" s="123"/>
      <c r="P429" s="123"/>
      <c r="Q429" s="123"/>
      <c r="R429" s="123"/>
      <c r="S429" s="123"/>
      <c r="T429" s="123"/>
      <c r="U429" s="123"/>
      <c r="V429" s="123"/>
      <c r="W429" s="123"/>
    </row>
    <row r="430" spans="1:23" ht="12.75">
      <c r="A430" s="367">
        <f t="shared" si="47"/>
        <v>411</v>
      </c>
      <c r="B430" s="368"/>
      <c r="C430" s="368"/>
      <c r="D430" s="369">
        <v>30</v>
      </c>
      <c r="E430" s="66" t="s">
        <v>169</v>
      </c>
      <c r="F430" s="375"/>
      <c r="G430" s="79">
        <f t="shared" si="46"/>
        <v>0</v>
      </c>
      <c r="H430" s="77"/>
      <c r="I430" s="77"/>
      <c r="J430" s="464"/>
      <c r="K430" s="77"/>
      <c r="L430" s="218"/>
      <c r="N430" s="123"/>
      <c r="O430" s="123"/>
      <c r="P430" s="123"/>
      <c r="Q430" s="123"/>
      <c r="R430" s="123"/>
      <c r="S430" s="123"/>
      <c r="T430" s="123"/>
      <c r="U430" s="123"/>
      <c r="V430" s="123"/>
      <c r="W430" s="123"/>
    </row>
    <row r="431" spans="1:23" ht="12.75">
      <c r="A431" s="367">
        <f t="shared" si="47"/>
        <v>412</v>
      </c>
      <c r="B431" s="368"/>
      <c r="C431" s="377" t="s">
        <v>80</v>
      </c>
      <c r="D431" s="369"/>
      <c r="E431" s="85" t="s">
        <v>170</v>
      </c>
      <c r="F431" s="49">
        <f>+F432+F433+F434+F435+F436+F437</f>
        <v>0</v>
      </c>
      <c r="G431" s="50">
        <f t="shared" si="46"/>
        <v>0</v>
      </c>
      <c r="H431" s="166">
        <f>+H432+H433+H434+H435+H436+H437</f>
        <v>0</v>
      </c>
      <c r="I431" s="166">
        <f>+I432+I433+I434+I435+I436+I437</f>
        <v>0</v>
      </c>
      <c r="J431" s="461">
        <f>+J432+J433+J434+J435+J436+J437</f>
        <v>0</v>
      </c>
      <c r="K431" s="166">
        <f>+K432+K433+K434+K435+K436+K437</f>
        <v>0</v>
      </c>
      <c r="L431" s="218"/>
      <c r="N431" s="123"/>
      <c r="O431" s="123"/>
      <c r="P431" s="123"/>
      <c r="Q431" s="123"/>
      <c r="R431" s="123"/>
      <c r="S431" s="123"/>
      <c r="T431" s="123"/>
      <c r="U431" s="123"/>
      <c r="V431" s="123"/>
      <c r="W431" s="123"/>
    </row>
    <row r="432" spans="1:23" ht="12.75">
      <c r="A432" s="367">
        <f t="shared" si="47"/>
        <v>413</v>
      </c>
      <c r="B432" s="368"/>
      <c r="C432" s="368"/>
      <c r="D432" s="379" t="s">
        <v>47</v>
      </c>
      <c r="E432" s="66" t="s">
        <v>265</v>
      </c>
      <c r="F432" s="375"/>
      <c r="G432" s="79">
        <f t="shared" si="46"/>
        <v>0</v>
      </c>
      <c r="H432" s="77"/>
      <c r="I432" s="77"/>
      <c r="J432" s="464"/>
      <c r="K432" s="77"/>
      <c r="L432" s="218"/>
      <c r="N432" s="123"/>
      <c r="O432" s="123"/>
      <c r="P432" s="123"/>
      <c r="Q432" s="123"/>
      <c r="R432" s="123"/>
      <c r="S432" s="123"/>
      <c r="T432" s="123"/>
      <c r="U432" s="123"/>
      <c r="V432" s="123"/>
      <c r="W432" s="123"/>
    </row>
    <row r="433" spans="1:23" ht="12.75">
      <c r="A433" s="367">
        <f t="shared" si="47"/>
        <v>414</v>
      </c>
      <c r="B433" s="368"/>
      <c r="C433" s="368"/>
      <c r="D433" s="379" t="s">
        <v>80</v>
      </c>
      <c r="E433" s="66" t="s">
        <v>266</v>
      </c>
      <c r="F433" s="375"/>
      <c r="G433" s="79">
        <f t="shared" si="46"/>
        <v>0</v>
      </c>
      <c r="H433" s="77"/>
      <c r="I433" s="77"/>
      <c r="J433" s="464"/>
      <c r="K433" s="77"/>
      <c r="L433" s="218"/>
      <c r="N433" s="123"/>
      <c r="O433" s="123"/>
      <c r="P433" s="123"/>
      <c r="Q433" s="123"/>
      <c r="R433" s="123"/>
      <c r="S433" s="123"/>
      <c r="T433" s="123"/>
      <c r="U433" s="123"/>
      <c r="V433" s="123"/>
      <c r="W433" s="123"/>
    </row>
    <row r="434" spans="1:23" ht="12.75">
      <c r="A434" s="367">
        <f t="shared" si="47"/>
        <v>415</v>
      </c>
      <c r="B434" s="368"/>
      <c r="C434" s="368"/>
      <c r="D434" s="379" t="s">
        <v>84</v>
      </c>
      <c r="E434" s="66" t="s">
        <v>173</v>
      </c>
      <c r="F434" s="375"/>
      <c r="G434" s="79">
        <f t="shared" si="46"/>
        <v>0</v>
      </c>
      <c r="H434" s="77"/>
      <c r="I434" s="77"/>
      <c r="J434" s="464"/>
      <c r="K434" s="77"/>
      <c r="L434" s="218"/>
      <c r="N434" s="123"/>
      <c r="O434" s="123"/>
      <c r="P434" s="123"/>
      <c r="Q434" s="123"/>
      <c r="R434" s="123"/>
      <c r="S434" s="123"/>
      <c r="T434" s="123"/>
      <c r="U434" s="123"/>
      <c r="V434" s="123"/>
      <c r="W434" s="123"/>
    </row>
    <row r="435" spans="1:23" ht="12.75">
      <c r="A435" s="367">
        <f t="shared" si="47"/>
        <v>416</v>
      </c>
      <c r="B435" s="368"/>
      <c r="C435" s="368"/>
      <c r="D435" s="379" t="s">
        <v>108</v>
      </c>
      <c r="E435" s="66" t="s">
        <v>267</v>
      </c>
      <c r="F435" s="375"/>
      <c r="G435" s="79">
        <f t="shared" si="46"/>
        <v>0</v>
      </c>
      <c r="H435" s="77"/>
      <c r="I435" s="77"/>
      <c r="J435" s="464"/>
      <c r="K435" s="77"/>
      <c r="L435" s="218"/>
      <c r="N435" s="123"/>
      <c r="O435" s="123"/>
      <c r="P435" s="123"/>
      <c r="Q435" s="123"/>
      <c r="R435" s="123"/>
      <c r="S435" s="123"/>
      <c r="T435" s="123"/>
      <c r="U435" s="123"/>
      <c r="V435" s="123"/>
      <c r="W435" s="123"/>
    </row>
    <row r="436" spans="1:23" ht="12.75">
      <c r="A436" s="367">
        <f t="shared" si="47"/>
        <v>417</v>
      </c>
      <c r="B436" s="368"/>
      <c r="C436" s="368"/>
      <c r="D436" s="379" t="s">
        <v>41</v>
      </c>
      <c r="E436" s="66" t="s">
        <v>268</v>
      </c>
      <c r="F436" s="375"/>
      <c r="G436" s="79">
        <f t="shared" si="46"/>
        <v>0</v>
      </c>
      <c r="H436" s="77"/>
      <c r="I436" s="77"/>
      <c r="J436" s="464"/>
      <c r="K436" s="77"/>
      <c r="L436" s="218"/>
      <c r="N436" s="123"/>
      <c r="O436" s="123"/>
      <c r="P436" s="123"/>
      <c r="Q436" s="123"/>
      <c r="R436" s="123"/>
      <c r="S436" s="123"/>
      <c r="T436" s="123"/>
      <c r="U436" s="123"/>
      <c r="V436" s="123"/>
      <c r="W436" s="123"/>
    </row>
    <row r="437" spans="1:23" ht="12.75">
      <c r="A437" s="367">
        <f t="shared" si="47"/>
        <v>418</v>
      </c>
      <c r="B437" s="368"/>
      <c r="C437" s="368"/>
      <c r="D437" s="369">
        <v>30</v>
      </c>
      <c r="E437" s="66" t="s">
        <v>176</v>
      </c>
      <c r="F437" s="375"/>
      <c r="G437" s="79">
        <f t="shared" si="46"/>
        <v>0</v>
      </c>
      <c r="H437" s="77"/>
      <c r="I437" s="77"/>
      <c r="J437" s="464"/>
      <c r="K437" s="77"/>
      <c r="L437" s="218"/>
      <c r="N437" s="123"/>
      <c r="O437" s="123"/>
      <c r="P437" s="123"/>
      <c r="Q437" s="123"/>
      <c r="R437" s="123"/>
      <c r="S437" s="123"/>
      <c r="T437" s="123"/>
      <c r="U437" s="123"/>
      <c r="V437" s="123"/>
      <c r="W437" s="123"/>
    </row>
    <row r="438" spans="1:23" ht="12.75">
      <c r="A438" s="367">
        <f t="shared" si="47"/>
        <v>419</v>
      </c>
      <c r="B438" s="368"/>
      <c r="C438" s="377" t="s">
        <v>84</v>
      </c>
      <c r="D438" s="369"/>
      <c r="E438" s="85" t="s">
        <v>177</v>
      </c>
      <c r="F438" s="49">
        <f>+F439+F440+F441+F442+F443+F444+F445</f>
        <v>0</v>
      </c>
      <c r="G438" s="50">
        <f t="shared" si="46"/>
        <v>0</v>
      </c>
      <c r="H438" s="166">
        <f>+H439+H440+H441+H442+H443+H444+H445</f>
        <v>0</v>
      </c>
      <c r="I438" s="166">
        <f>+I439+I440+I441+I442+I443+I444+I445</f>
        <v>0</v>
      </c>
      <c r="J438" s="461">
        <f>+J439+J440+J441+J442+J443+J444+J445</f>
        <v>0</v>
      </c>
      <c r="K438" s="166">
        <f>+K439+K440+K441+K442+K443+K444+K445</f>
        <v>0</v>
      </c>
      <c r="L438" s="218"/>
      <c r="N438" s="123"/>
      <c r="O438" s="123"/>
      <c r="P438" s="123"/>
      <c r="Q438" s="123"/>
      <c r="R438" s="123"/>
      <c r="S438" s="123"/>
      <c r="T438" s="123"/>
      <c r="U438" s="123"/>
      <c r="V438" s="123"/>
      <c r="W438" s="123"/>
    </row>
    <row r="439" spans="1:23" ht="12.75">
      <c r="A439" s="367">
        <f t="shared" si="47"/>
        <v>420</v>
      </c>
      <c r="B439" s="368"/>
      <c r="C439" s="368"/>
      <c r="D439" s="379" t="s">
        <v>47</v>
      </c>
      <c r="E439" s="66" t="s">
        <v>178</v>
      </c>
      <c r="F439" s="375"/>
      <c r="G439" s="79">
        <f t="shared" si="46"/>
        <v>0</v>
      </c>
      <c r="H439" s="77"/>
      <c r="I439" s="77"/>
      <c r="J439" s="464"/>
      <c r="K439" s="77"/>
      <c r="L439" s="218"/>
      <c r="N439" s="123"/>
      <c r="O439" s="123"/>
      <c r="P439" s="123"/>
      <c r="Q439" s="123"/>
      <c r="R439" s="123"/>
      <c r="S439" s="123"/>
      <c r="T439" s="123"/>
      <c r="U439" s="123"/>
      <c r="V439" s="123"/>
      <c r="W439" s="123"/>
    </row>
    <row r="440" spans="1:23" ht="12.75">
      <c r="A440" s="367">
        <f t="shared" si="47"/>
        <v>421</v>
      </c>
      <c r="B440" s="368"/>
      <c r="C440" s="368"/>
      <c r="D440" s="379" t="s">
        <v>80</v>
      </c>
      <c r="E440" s="66" t="s">
        <v>179</v>
      </c>
      <c r="F440" s="375"/>
      <c r="G440" s="79">
        <f t="shared" si="46"/>
        <v>0</v>
      </c>
      <c r="H440" s="77"/>
      <c r="I440" s="77"/>
      <c r="J440" s="464"/>
      <c r="K440" s="77"/>
      <c r="L440" s="218"/>
      <c r="N440" s="123"/>
      <c r="O440" s="123"/>
      <c r="P440" s="123"/>
      <c r="Q440" s="123"/>
      <c r="R440" s="123"/>
      <c r="S440" s="123"/>
      <c r="T440" s="123"/>
      <c r="U440" s="123"/>
      <c r="V440" s="123"/>
      <c r="W440" s="123"/>
    </row>
    <row r="441" spans="1:23" ht="12.75">
      <c r="A441" s="367">
        <f t="shared" si="47"/>
        <v>422</v>
      </c>
      <c r="B441" s="368"/>
      <c r="C441" s="368"/>
      <c r="D441" s="379" t="s">
        <v>84</v>
      </c>
      <c r="E441" s="66" t="s">
        <v>180</v>
      </c>
      <c r="F441" s="375"/>
      <c r="G441" s="79">
        <f t="shared" si="46"/>
        <v>0</v>
      </c>
      <c r="H441" s="77"/>
      <c r="I441" s="77"/>
      <c r="J441" s="464"/>
      <c r="K441" s="77"/>
      <c r="L441" s="218"/>
      <c r="N441" s="123"/>
      <c r="O441" s="123"/>
      <c r="P441" s="123"/>
      <c r="Q441" s="123"/>
      <c r="R441" s="123"/>
      <c r="S441" s="123"/>
      <c r="T441" s="123"/>
      <c r="U441" s="123"/>
      <c r="V441" s="123"/>
      <c r="W441" s="123"/>
    </row>
    <row r="442" spans="1:23" ht="12.75">
      <c r="A442" s="367">
        <f t="shared" si="47"/>
        <v>423</v>
      </c>
      <c r="B442" s="368"/>
      <c r="C442" s="368"/>
      <c r="D442" s="379" t="s">
        <v>108</v>
      </c>
      <c r="E442" s="66" t="s">
        <v>269</v>
      </c>
      <c r="F442" s="375"/>
      <c r="G442" s="79">
        <f t="shared" si="46"/>
        <v>0</v>
      </c>
      <c r="H442" s="77"/>
      <c r="I442" s="77"/>
      <c r="J442" s="464"/>
      <c r="K442" s="77"/>
      <c r="L442" s="218"/>
      <c r="N442" s="123"/>
      <c r="O442" s="123"/>
      <c r="P442" s="123"/>
      <c r="Q442" s="123"/>
      <c r="R442" s="123"/>
      <c r="S442" s="123"/>
      <c r="T442" s="123"/>
      <c r="U442" s="123"/>
      <c r="V442" s="123"/>
      <c r="W442" s="123"/>
    </row>
    <row r="443" spans="1:23" ht="12.75">
      <c r="A443" s="367">
        <f t="shared" si="47"/>
        <v>424</v>
      </c>
      <c r="B443" s="368"/>
      <c r="C443" s="368"/>
      <c r="D443" s="379" t="s">
        <v>41</v>
      </c>
      <c r="E443" s="66" t="s">
        <v>182</v>
      </c>
      <c r="F443" s="375"/>
      <c r="G443" s="79">
        <f t="shared" si="46"/>
        <v>0</v>
      </c>
      <c r="H443" s="77"/>
      <c r="I443" s="77"/>
      <c r="J443" s="464"/>
      <c r="K443" s="77"/>
      <c r="L443" s="218"/>
      <c r="N443" s="123"/>
      <c r="O443" s="123"/>
      <c r="P443" s="123"/>
      <c r="Q443" s="123"/>
      <c r="R443" s="123"/>
      <c r="S443" s="123"/>
      <c r="T443" s="123"/>
      <c r="U443" s="123"/>
      <c r="V443" s="123"/>
      <c r="W443" s="123"/>
    </row>
    <row r="444" spans="1:23" ht="12.75">
      <c r="A444" s="367">
        <f t="shared" si="47"/>
        <v>425</v>
      </c>
      <c r="B444" s="368"/>
      <c r="C444" s="368"/>
      <c r="D444" s="379" t="s">
        <v>154</v>
      </c>
      <c r="E444" s="66" t="s">
        <v>183</v>
      </c>
      <c r="F444" s="375"/>
      <c r="G444" s="79">
        <f t="shared" si="46"/>
        <v>0</v>
      </c>
      <c r="H444" s="77"/>
      <c r="I444" s="77"/>
      <c r="J444" s="464"/>
      <c r="K444" s="77"/>
      <c r="L444" s="218"/>
      <c r="N444" s="123"/>
      <c r="O444" s="123"/>
      <c r="P444" s="123"/>
      <c r="Q444" s="123"/>
      <c r="R444" s="123"/>
      <c r="S444" s="123"/>
      <c r="T444" s="123"/>
      <c r="U444" s="123"/>
      <c r="V444" s="123"/>
      <c r="W444" s="123"/>
    </row>
    <row r="445" spans="1:23" ht="12.75">
      <c r="A445" s="367">
        <f t="shared" si="47"/>
        <v>426</v>
      </c>
      <c r="B445" s="368"/>
      <c r="C445" s="368"/>
      <c r="D445" s="379" t="s">
        <v>157</v>
      </c>
      <c r="E445" s="66" t="s">
        <v>184</v>
      </c>
      <c r="F445" s="375"/>
      <c r="G445" s="79">
        <f t="shared" si="46"/>
        <v>0</v>
      </c>
      <c r="H445" s="77"/>
      <c r="I445" s="77"/>
      <c r="J445" s="464"/>
      <c r="K445" s="77"/>
      <c r="L445" s="218"/>
      <c r="N445" s="123"/>
      <c r="O445" s="123"/>
      <c r="P445" s="123"/>
      <c r="Q445" s="123"/>
      <c r="R445" s="123"/>
      <c r="S445" s="123"/>
      <c r="T445" s="123"/>
      <c r="U445" s="123"/>
      <c r="V445" s="123"/>
      <c r="W445" s="123"/>
    </row>
    <row r="446" spans="1:23" ht="12.75">
      <c r="A446" s="367">
        <f t="shared" si="47"/>
        <v>427</v>
      </c>
      <c r="B446" s="368"/>
      <c r="C446" s="368">
        <v>20</v>
      </c>
      <c r="D446" s="369"/>
      <c r="E446" s="85" t="s">
        <v>294</v>
      </c>
      <c r="F446" s="49">
        <f>+F447+F458+F459+F462+F467+F471+F474+F475+F476+F477+F478+F479+F480+F482</f>
        <v>0</v>
      </c>
      <c r="G446" s="50">
        <f t="shared" si="46"/>
        <v>607.34</v>
      </c>
      <c r="H446" s="166">
        <f>+H447+H458+H459+H462+H467+H471+H474+H475+H476+H477+H478+H479+H480+H482</f>
        <v>0</v>
      </c>
      <c r="I446" s="166">
        <f>+I447+I458+I459+I462+I467+I471+I474+I475+I476+I477+I478+I479+I480+I482</f>
        <v>0</v>
      </c>
      <c r="J446" s="461">
        <f>+J447+J458+J459+J462+J467+J471+J474+J475+J476+J477+J478+J479+J480+J482</f>
        <v>278.34000000000003</v>
      </c>
      <c r="K446" s="166">
        <f>+K447+K458+K459+K462+K467+K471+K474+K475+K476+K477+K478+K479+K480+K482</f>
        <v>329</v>
      </c>
      <c r="L446" s="218"/>
      <c r="N446" s="123"/>
      <c r="O446" s="123"/>
      <c r="P446" s="123"/>
      <c r="Q446" s="123"/>
      <c r="R446" s="123"/>
      <c r="S446" s="123"/>
      <c r="T446" s="123"/>
      <c r="U446" s="123"/>
      <c r="V446" s="123"/>
      <c r="W446" s="123"/>
    </row>
    <row r="447" spans="1:23" ht="12.75">
      <c r="A447" s="367">
        <f t="shared" si="47"/>
        <v>428</v>
      </c>
      <c r="B447" s="368"/>
      <c r="C447" s="377" t="s">
        <v>47</v>
      </c>
      <c r="D447" s="369"/>
      <c r="E447" s="85" t="s">
        <v>130</v>
      </c>
      <c r="F447" s="49">
        <f>+F448+F449+F450+F451+F452+F453+F454+F455+F456+F457</f>
        <v>0</v>
      </c>
      <c r="G447" s="50">
        <f t="shared" si="46"/>
        <v>0</v>
      </c>
      <c r="H447" s="166">
        <f>+H448+H449+H450+H451+H452+H453+H454+H455+H456+H457</f>
        <v>0</v>
      </c>
      <c r="I447" s="166">
        <f>+I448+I449+I450+I451+I452+I453+I454+I455+I456+I457</f>
        <v>0</v>
      </c>
      <c r="J447" s="461">
        <f>+J448+J449+J450+J451+J452+J453+J454+J455+J456+J457</f>
        <v>0</v>
      </c>
      <c r="K447" s="166">
        <f>+K448+K449+K450+K451+K452+K453+K454+K455+K456+K457</f>
        <v>0</v>
      </c>
      <c r="L447" s="218"/>
      <c r="N447" s="123"/>
      <c r="O447" s="123"/>
      <c r="P447" s="123"/>
      <c r="Q447" s="123"/>
      <c r="R447" s="123"/>
      <c r="S447" s="123"/>
      <c r="T447" s="123"/>
      <c r="U447" s="123"/>
      <c r="V447" s="123"/>
      <c r="W447" s="123"/>
    </row>
    <row r="448" spans="1:23" ht="12.75">
      <c r="A448" s="367">
        <f t="shared" si="47"/>
        <v>429</v>
      </c>
      <c r="B448" s="368"/>
      <c r="C448" s="368"/>
      <c r="D448" s="379" t="s">
        <v>47</v>
      </c>
      <c r="E448" s="66" t="s">
        <v>186</v>
      </c>
      <c r="F448" s="375"/>
      <c r="G448" s="79">
        <f t="shared" si="46"/>
        <v>0</v>
      </c>
      <c r="H448" s="77"/>
      <c r="I448" s="77"/>
      <c r="J448" s="464"/>
      <c r="K448" s="77"/>
      <c r="L448" s="218"/>
      <c r="N448" s="123"/>
      <c r="O448" s="123"/>
      <c r="P448" s="123"/>
      <c r="Q448" s="123"/>
      <c r="R448" s="123"/>
      <c r="S448" s="123"/>
      <c r="T448" s="123"/>
      <c r="U448" s="123"/>
      <c r="V448" s="123"/>
      <c r="W448" s="123"/>
    </row>
    <row r="449" spans="1:23" ht="12.75">
      <c r="A449" s="367">
        <f t="shared" si="47"/>
        <v>430</v>
      </c>
      <c r="B449" s="368"/>
      <c r="C449" s="368"/>
      <c r="D449" s="379" t="s">
        <v>80</v>
      </c>
      <c r="E449" s="66" t="s">
        <v>187</v>
      </c>
      <c r="F449" s="375"/>
      <c r="G449" s="79">
        <f t="shared" si="46"/>
        <v>0</v>
      </c>
      <c r="H449" s="77"/>
      <c r="I449" s="77"/>
      <c r="J449" s="464"/>
      <c r="K449" s="77"/>
      <c r="L449" s="218"/>
      <c r="N449" s="123"/>
      <c r="O449" s="123"/>
      <c r="P449" s="123"/>
      <c r="Q449" s="123"/>
      <c r="R449" s="123"/>
      <c r="S449" s="123"/>
      <c r="T449" s="123"/>
      <c r="U449" s="123"/>
      <c r="V449" s="123"/>
      <c r="W449" s="123"/>
    </row>
    <row r="450" spans="1:23" ht="12.75">
      <c r="A450" s="367">
        <f t="shared" si="47"/>
        <v>431</v>
      </c>
      <c r="B450" s="368"/>
      <c r="C450" s="368"/>
      <c r="D450" s="379" t="s">
        <v>84</v>
      </c>
      <c r="E450" s="66" t="s">
        <v>188</v>
      </c>
      <c r="F450" s="375"/>
      <c r="G450" s="79">
        <f t="shared" si="46"/>
        <v>0</v>
      </c>
      <c r="H450" s="77"/>
      <c r="I450" s="77"/>
      <c r="J450" s="464"/>
      <c r="K450" s="77"/>
      <c r="L450" s="218"/>
      <c r="N450" s="123"/>
      <c r="O450" s="123"/>
      <c r="P450" s="123"/>
      <c r="Q450" s="123"/>
      <c r="R450" s="123"/>
      <c r="S450" s="123"/>
      <c r="T450" s="123"/>
      <c r="U450" s="123"/>
      <c r="V450" s="123"/>
      <c r="W450" s="123"/>
    </row>
    <row r="451" spans="1:23" ht="12.75">
      <c r="A451" s="367">
        <f t="shared" si="47"/>
        <v>432</v>
      </c>
      <c r="B451" s="368"/>
      <c r="C451" s="368"/>
      <c r="D451" s="379" t="s">
        <v>108</v>
      </c>
      <c r="E451" s="66" t="s">
        <v>189</v>
      </c>
      <c r="F451" s="375"/>
      <c r="G451" s="79">
        <f t="shared" si="46"/>
        <v>0</v>
      </c>
      <c r="H451" s="77"/>
      <c r="I451" s="77"/>
      <c r="J451" s="464"/>
      <c r="K451" s="77"/>
      <c r="L451" s="218"/>
      <c r="N451" s="123"/>
      <c r="O451" s="123"/>
      <c r="P451" s="123"/>
      <c r="Q451" s="123"/>
      <c r="R451" s="123"/>
      <c r="S451" s="123"/>
      <c r="T451" s="123"/>
      <c r="U451" s="123"/>
      <c r="V451" s="123"/>
      <c r="W451" s="123"/>
    </row>
    <row r="452" spans="1:23" ht="12.75">
      <c r="A452" s="367">
        <f t="shared" si="47"/>
        <v>433</v>
      </c>
      <c r="B452" s="368"/>
      <c r="C452" s="368"/>
      <c r="D452" s="379" t="s">
        <v>41</v>
      </c>
      <c r="E452" s="66" t="s">
        <v>190</v>
      </c>
      <c r="F452" s="375"/>
      <c r="G452" s="79">
        <f t="shared" si="46"/>
        <v>0</v>
      </c>
      <c r="H452" s="77"/>
      <c r="I452" s="77"/>
      <c r="J452" s="464"/>
      <c r="K452" s="77"/>
      <c r="L452" s="218"/>
      <c r="N452" s="123"/>
      <c r="O452" s="123"/>
      <c r="P452" s="123"/>
      <c r="Q452" s="123"/>
      <c r="R452" s="123"/>
      <c r="S452" s="123"/>
      <c r="T452" s="123"/>
      <c r="U452" s="123"/>
      <c r="V452" s="123"/>
      <c r="W452" s="123"/>
    </row>
    <row r="453" spans="1:23" ht="12.75">
      <c r="A453" s="367">
        <f t="shared" si="47"/>
        <v>434</v>
      </c>
      <c r="B453" s="368"/>
      <c r="C453" s="368"/>
      <c r="D453" s="379" t="s">
        <v>154</v>
      </c>
      <c r="E453" s="66" t="s">
        <v>191</v>
      </c>
      <c r="F453" s="375"/>
      <c r="G453" s="79">
        <f t="shared" si="46"/>
        <v>0</v>
      </c>
      <c r="H453" s="77"/>
      <c r="I453" s="77"/>
      <c r="J453" s="464"/>
      <c r="K453" s="77"/>
      <c r="L453" s="218"/>
      <c r="N453" s="217"/>
      <c r="O453" s="123"/>
      <c r="P453" s="123"/>
      <c r="Q453" s="123"/>
      <c r="R453" s="123"/>
      <c r="S453" s="123"/>
      <c r="T453" s="123"/>
      <c r="U453" s="123"/>
      <c r="V453" s="123"/>
      <c r="W453" s="123"/>
    </row>
    <row r="454" spans="1:23" ht="12.75">
      <c r="A454" s="367">
        <f t="shared" si="47"/>
        <v>435</v>
      </c>
      <c r="B454" s="368"/>
      <c r="C454" s="368"/>
      <c r="D454" s="379" t="s">
        <v>157</v>
      </c>
      <c r="E454" s="66" t="s">
        <v>192</v>
      </c>
      <c r="F454" s="375"/>
      <c r="G454" s="79">
        <f t="shared" si="46"/>
        <v>0</v>
      </c>
      <c r="H454" s="77"/>
      <c r="I454" s="77"/>
      <c r="J454" s="464"/>
      <c r="K454" s="77"/>
      <c r="L454" s="218"/>
      <c r="N454" s="123"/>
      <c r="O454" s="123"/>
      <c r="P454" s="123"/>
      <c r="Q454" s="123"/>
      <c r="R454" s="123"/>
      <c r="S454" s="123"/>
      <c r="T454" s="123"/>
      <c r="U454" s="123"/>
      <c r="V454" s="123"/>
      <c r="W454" s="123"/>
    </row>
    <row r="455" spans="1:23" ht="12.75">
      <c r="A455" s="367">
        <f t="shared" si="47"/>
        <v>436</v>
      </c>
      <c r="B455" s="368"/>
      <c r="C455" s="368"/>
      <c r="D455" s="379" t="s">
        <v>65</v>
      </c>
      <c r="E455" s="66" t="s">
        <v>193</v>
      </c>
      <c r="F455" s="375"/>
      <c r="G455" s="79">
        <f t="shared" si="46"/>
        <v>0</v>
      </c>
      <c r="H455" s="77"/>
      <c r="I455" s="77"/>
      <c r="J455" s="464"/>
      <c r="K455" s="77"/>
      <c r="L455" s="218"/>
      <c r="N455" s="123"/>
      <c r="O455" s="123"/>
      <c r="P455" s="123"/>
      <c r="Q455" s="123"/>
      <c r="R455" s="123"/>
      <c r="S455" s="123"/>
      <c r="T455" s="123"/>
      <c r="U455" s="123"/>
      <c r="V455" s="123"/>
      <c r="W455" s="123"/>
    </row>
    <row r="456" spans="1:23" ht="12.75">
      <c r="A456" s="367">
        <f t="shared" si="47"/>
        <v>437</v>
      </c>
      <c r="B456" s="368"/>
      <c r="C456" s="368"/>
      <c r="D456" s="379" t="s">
        <v>160</v>
      </c>
      <c r="E456" s="66" t="s">
        <v>194</v>
      </c>
      <c r="F456" s="375"/>
      <c r="G456" s="79">
        <f t="shared" si="46"/>
        <v>0</v>
      </c>
      <c r="H456" s="77"/>
      <c r="I456" s="77"/>
      <c r="J456" s="464"/>
      <c r="K456" s="77"/>
      <c r="L456" s="218"/>
      <c r="N456" s="123"/>
      <c r="O456" s="123"/>
      <c r="P456" s="123"/>
      <c r="Q456" s="123"/>
      <c r="R456" s="123"/>
      <c r="S456" s="123"/>
      <c r="T456" s="123"/>
      <c r="U456" s="123"/>
      <c r="V456" s="123"/>
      <c r="W456" s="123"/>
    </row>
    <row r="457" spans="1:23" ht="12.75">
      <c r="A457" s="367">
        <f t="shared" si="47"/>
        <v>438</v>
      </c>
      <c r="B457" s="368"/>
      <c r="C457" s="368"/>
      <c r="D457" s="369">
        <v>30</v>
      </c>
      <c r="E457" s="66" t="s">
        <v>271</v>
      </c>
      <c r="F457" s="375"/>
      <c r="G457" s="79">
        <f t="shared" si="46"/>
        <v>0</v>
      </c>
      <c r="H457" s="77"/>
      <c r="I457" s="77"/>
      <c r="J457" s="464"/>
      <c r="K457" s="77"/>
      <c r="L457" s="218"/>
      <c r="N457" s="123"/>
      <c r="O457" s="123"/>
      <c r="P457" s="123"/>
      <c r="Q457" s="123"/>
      <c r="R457" s="123"/>
      <c r="S457" s="123"/>
      <c r="T457" s="123"/>
      <c r="U457" s="123"/>
      <c r="V457" s="123"/>
      <c r="W457" s="123"/>
    </row>
    <row r="458" spans="1:23" ht="12.75">
      <c r="A458" s="367">
        <f t="shared" si="47"/>
        <v>439</v>
      </c>
      <c r="B458" s="368"/>
      <c r="C458" s="377" t="s">
        <v>80</v>
      </c>
      <c r="D458" s="86"/>
      <c r="E458" s="59" t="s">
        <v>196</v>
      </c>
      <c r="F458" s="375"/>
      <c r="G458" s="79">
        <f t="shared" si="46"/>
        <v>607.34</v>
      </c>
      <c r="H458" s="77"/>
      <c r="I458" s="77"/>
      <c r="J458" s="464">
        <f>158.34+120</f>
        <v>278.34000000000003</v>
      </c>
      <c r="K458" s="77">
        <v>329</v>
      </c>
      <c r="L458" s="218"/>
      <c r="M458" s="316"/>
      <c r="N458" s="123"/>
      <c r="O458" s="123"/>
      <c r="P458" s="123"/>
      <c r="Q458" s="123"/>
      <c r="R458" s="123"/>
      <c r="S458" s="123"/>
      <c r="T458" s="123"/>
      <c r="U458" s="123"/>
      <c r="V458" s="123"/>
      <c r="W458" s="123"/>
    </row>
    <row r="459" spans="1:23" ht="12.75">
      <c r="A459" s="367">
        <f t="shared" si="47"/>
        <v>440</v>
      </c>
      <c r="B459" s="368"/>
      <c r="C459" s="377" t="s">
        <v>84</v>
      </c>
      <c r="D459" s="86"/>
      <c r="E459" s="59" t="s">
        <v>197</v>
      </c>
      <c r="F459" s="49">
        <f>+F460+F461</f>
        <v>0</v>
      </c>
      <c r="G459" s="50">
        <f t="shared" si="46"/>
        <v>0</v>
      </c>
      <c r="H459" s="166">
        <f>+H460+H461</f>
        <v>0</v>
      </c>
      <c r="I459" s="166">
        <f>+I460+I461</f>
        <v>0</v>
      </c>
      <c r="J459" s="461">
        <f>+J460+J461</f>
        <v>0</v>
      </c>
      <c r="K459" s="166">
        <f>+K460+K461</f>
        <v>0</v>
      </c>
      <c r="L459" s="218"/>
      <c r="N459" s="123"/>
      <c r="O459" s="123"/>
      <c r="P459" s="123"/>
      <c r="Q459" s="123"/>
      <c r="R459" s="123"/>
      <c r="S459" s="123"/>
      <c r="T459" s="123"/>
      <c r="U459" s="123"/>
      <c r="V459" s="123"/>
      <c r="W459" s="123"/>
    </row>
    <row r="460" spans="1:23" ht="12.75">
      <c r="A460" s="367">
        <f t="shared" si="47"/>
        <v>441</v>
      </c>
      <c r="B460" s="368"/>
      <c r="C460" s="368"/>
      <c r="D460" s="379" t="s">
        <v>47</v>
      </c>
      <c r="E460" s="66" t="s">
        <v>198</v>
      </c>
      <c r="F460" s="375"/>
      <c r="G460" s="79">
        <f t="shared" si="46"/>
        <v>0</v>
      </c>
      <c r="H460" s="77"/>
      <c r="I460" s="77"/>
      <c r="J460" s="464"/>
      <c r="K460" s="77"/>
      <c r="L460" s="218"/>
      <c r="N460" s="123"/>
      <c r="O460" s="123"/>
      <c r="P460" s="123"/>
      <c r="Q460" s="123"/>
      <c r="R460" s="123"/>
      <c r="S460" s="123"/>
      <c r="T460" s="123"/>
      <c r="U460" s="123"/>
      <c r="V460" s="123"/>
      <c r="W460" s="123"/>
    </row>
    <row r="461" spans="1:23" ht="12.75">
      <c r="A461" s="367">
        <f t="shared" si="47"/>
        <v>442</v>
      </c>
      <c r="B461" s="368"/>
      <c r="C461" s="368"/>
      <c r="D461" s="379" t="s">
        <v>80</v>
      </c>
      <c r="E461" s="66" t="s">
        <v>199</v>
      </c>
      <c r="F461" s="375"/>
      <c r="G461" s="79">
        <f t="shared" si="46"/>
        <v>0</v>
      </c>
      <c r="H461" s="77"/>
      <c r="I461" s="77"/>
      <c r="J461" s="464"/>
      <c r="K461" s="77"/>
      <c r="L461" s="218"/>
      <c r="N461" s="123"/>
      <c r="O461" s="123"/>
      <c r="P461" s="123"/>
      <c r="Q461" s="123"/>
      <c r="R461" s="123"/>
      <c r="S461" s="123"/>
      <c r="T461" s="123"/>
      <c r="U461" s="123"/>
      <c r="V461" s="123"/>
      <c r="W461" s="123"/>
    </row>
    <row r="462" spans="1:23" ht="12.75">
      <c r="A462" s="367">
        <f t="shared" si="47"/>
        <v>443</v>
      </c>
      <c r="B462" s="368"/>
      <c r="C462" s="377" t="s">
        <v>108</v>
      </c>
      <c r="D462" s="369"/>
      <c r="E462" s="59" t="s">
        <v>200</v>
      </c>
      <c r="F462" s="49">
        <f>+F463+F464+F465+F466</f>
        <v>0</v>
      </c>
      <c r="G462" s="50">
        <f t="shared" si="46"/>
        <v>0</v>
      </c>
      <c r="H462" s="166">
        <f>+H463+H464+H465+H466</f>
        <v>0</v>
      </c>
      <c r="I462" s="166">
        <f>+I463+I464+I465+I466</f>
        <v>0</v>
      </c>
      <c r="J462" s="461">
        <f>+J463+J464+J465+J466</f>
        <v>0</v>
      </c>
      <c r="K462" s="166">
        <f>+K463+K464+K465+K466</f>
        <v>0</v>
      </c>
      <c r="L462" s="218"/>
      <c r="N462" s="123"/>
      <c r="O462" s="123"/>
      <c r="P462" s="123"/>
      <c r="Q462" s="123"/>
      <c r="R462" s="123"/>
      <c r="S462" s="123"/>
      <c r="T462" s="123"/>
      <c r="U462" s="123"/>
      <c r="V462" s="123"/>
      <c r="W462" s="123"/>
    </row>
    <row r="463" spans="1:23" ht="12.75">
      <c r="A463" s="367">
        <f t="shared" si="47"/>
        <v>444</v>
      </c>
      <c r="B463" s="368"/>
      <c r="C463" s="368"/>
      <c r="D463" s="379" t="s">
        <v>47</v>
      </c>
      <c r="E463" s="66" t="s">
        <v>201</v>
      </c>
      <c r="F463" s="375"/>
      <c r="G463" s="79">
        <f t="shared" si="46"/>
        <v>0</v>
      </c>
      <c r="H463" s="77"/>
      <c r="I463" s="77"/>
      <c r="J463" s="464"/>
      <c r="K463" s="77"/>
      <c r="L463" s="218"/>
      <c r="N463" s="123"/>
      <c r="O463" s="123"/>
      <c r="P463" s="123"/>
      <c r="Q463" s="123"/>
      <c r="R463" s="123"/>
      <c r="S463" s="123"/>
      <c r="T463" s="123"/>
      <c r="U463" s="123"/>
      <c r="V463" s="123"/>
      <c r="W463" s="123"/>
    </row>
    <row r="464" spans="1:23" ht="12.75">
      <c r="A464" s="367">
        <f t="shared" si="47"/>
        <v>445</v>
      </c>
      <c r="B464" s="368"/>
      <c r="C464" s="368"/>
      <c r="D464" s="379" t="s">
        <v>80</v>
      </c>
      <c r="E464" s="66" t="s">
        <v>202</v>
      </c>
      <c r="F464" s="375"/>
      <c r="G464" s="79">
        <f t="shared" si="46"/>
        <v>0</v>
      </c>
      <c r="H464" s="77"/>
      <c r="I464" s="77"/>
      <c r="J464" s="464"/>
      <c r="K464" s="77"/>
      <c r="L464" s="218"/>
      <c r="N464" s="123"/>
      <c r="O464" s="123"/>
      <c r="P464" s="123"/>
      <c r="Q464" s="123"/>
      <c r="R464" s="123"/>
      <c r="S464" s="123"/>
      <c r="T464" s="123"/>
      <c r="U464" s="123"/>
      <c r="V464" s="123"/>
      <c r="W464" s="123"/>
    </row>
    <row r="465" spans="1:23" ht="12.75">
      <c r="A465" s="367">
        <f t="shared" si="47"/>
        <v>446</v>
      </c>
      <c r="B465" s="368"/>
      <c r="C465" s="368"/>
      <c r="D465" s="379" t="s">
        <v>84</v>
      </c>
      <c r="E465" s="66" t="s">
        <v>203</v>
      </c>
      <c r="F465" s="375"/>
      <c r="G465" s="79">
        <f t="shared" si="46"/>
        <v>0</v>
      </c>
      <c r="H465" s="77"/>
      <c r="I465" s="77"/>
      <c r="J465" s="464"/>
      <c r="K465" s="77"/>
      <c r="L465" s="218"/>
      <c r="N465" s="123"/>
      <c r="O465" s="123"/>
      <c r="P465" s="123"/>
      <c r="Q465" s="123"/>
      <c r="R465" s="123"/>
      <c r="S465" s="123"/>
      <c r="T465" s="123"/>
      <c r="U465" s="123"/>
      <c r="V465" s="123"/>
      <c r="W465" s="123"/>
    </row>
    <row r="466" spans="1:23" ht="12.75">
      <c r="A466" s="367">
        <f t="shared" si="47"/>
        <v>447</v>
      </c>
      <c r="B466" s="368"/>
      <c r="C466" s="368"/>
      <c r="D466" s="379" t="s">
        <v>108</v>
      </c>
      <c r="E466" s="66" t="s">
        <v>204</v>
      </c>
      <c r="F466" s="375"/>
      <c r="G466" s="79">
        <f t="shared" si="46"/>
        <v>0</v>
      </c>
      <c r="H466" s="77"/>
      <c r="I466" s="77"/>
      <c r="J466" s="464"/>
      <c r="K466" s="77"/>
      <c r="L466" s="218"/>
      <c r="N466" s="123"/>
      <c r="O466" s="123"/>
      <c r="P466" s="123"/>
      <c r="Q466" s="123"/>
      <c r="R466" s="123"/>
      <c r="S466" s="123"/>
      <c r="T466" s="123"/>
      <c r="U466" s="123"/>
      <c r="V466" s="123"/>
      <c r="W466" s="123"/>
    </row>
    <row r="467" spans="1:12" ht="12.75">
      <c r="A467" s="367">
        <f t="shared" si="47"/>
        <v>448</v>
      </c>
      <c r="B467" s="368"/>
      <c r="C467" s="377" t="s">
        <v>41</v>
      </c>
      <c r="D467" s="369"/>
      <c r="E467" s="85" t="s">
        <v>205</v>
      </c>
      <c r="F467" s="49">
        <f>+F468+F469+F470</f>
        <v>0</v>
      </c>
      <c r="G467" s="50">
        <f t="shared" si="46"/>
        <v>0</v>
      </c>
      <c r="H467" s="166">
        <f>+H468+H469+H470</f>
        <v>0</v>
      </c>
      <c r="I467" s="166">
        <f>+I468+I469+I470</f>
        <v>0</v>
      </c>
      <c r="J467" s="461">
        <f>+J468+J469+J470</f>
        <v>0</v>
      </c>
      <c r="K467" s="166">
        <f>+K468+K469+K470</f>
        <v>0</v>
      </c>
      <c r="L467" s="218"/>
    </row>
    <row r="468" spans="1:12" ht="12.75">
      <c r="A468" s="367">
        <f t="shared" si="47"/>
        <v>449</v>
      </c>
      <c r="B468" s="368"/>
      <c r="C468" s="368"/>
      <c r="D468" s="379" t="s">
        <v>47</v>
      </c>
      <c r="E468" s="66" t="s">
        <v>206</v>
      </c>
      <c r="F468" s="375"/>
      <c r="G468" s="79">
        <f t="shared" si="46"/>
        <v>0</v>
      </c>
      <c r="H468" s="77"/>
      <c r="I468" s="77"/>
      <c r="J468" s="464"/>
      <c r="K468" s="77"/>
      <c r="L468" s="218"/>
    </row>
    <row r="469" spans="1:12" ht="12.75">
      <c r="A469" s="367">
        <f t="shared" si="47"/>
        <v>450</v>
      </c>
      <c r="B469" s="368"/>
      <c r="C469" s="368"/>
      <c r="D469" s="379" t="s">
        <v>84</v>
      </c>
      <c r="E469" s="66" t="s">
        <v>207</v>
      </c>
      <c r="F469" s="375"/>
      <c r="G469" s="79">
        <f t="shared" si="46"/>
        <v>0</v>
      </c>
      <c r="H469" s="77"/>
      <c r="I469" s="77"/>
      <c r="J469" s="464"/>
      <c r="K469" s="77"/>
      <c r="L469" s="218"/>
    </row>
    <row r="470" spans="1:12" ht="12.75">
      <c r="A470" s="367">
        <f t="shared" si="47"/>
        <v>451</v>
      </c>
      <c r="B470" s="368"/>
      <c r="C470" s="368"/>
      <c r="D470" s="369">
        <v>30</v>
      </c>
      <c r="E470" s="66" t="s">
        <v>208</v>
      </c>
      <c r="F470" s="375"/>
      <c r="G470" s="79">
        <f t="shared" si="46"/>
        <v>0</v>
      </c>
      <c r="H470" s="77"/>
      <c r="I470" s="77"/>
      <c r="J470" s="464"/>
      <c r="K470" s="77"/>
      <c r="L470" s="218"/>
    </row>
    <row r="471" spans="1:12" ht="12.75">
      <c r="A471" s="367">
        <f t="shared" si="47"/>
        <v>452</v>
      </c>
      <c r="B471" s="368"/>
      <c r="C471" s="377" t="s">
        <v>154</v>
      </c>
      <c r="D471" s="369"/>
      <c r="E471" s="59" t="s">
        <v>209</v>
      </c>
      <c r="F471" s="49">
        <f>+F472+F473</f>
        <v>0</v>
      </c>
      <c r="G471" s="50">
        <f t="shared" si="46"/>
        <v>0</v>
      </c>
      <c r="H471" s="166">
        <f>+H472+H473</f>
        <v>0</v>
      </c>
      <c r="I471" s="166">
        <f>+I472+I473</f>
        <v>0</v>
      </c>
      <c r="J471" s="461">
        <f>+J472+J473</f>
        <v>0</v>
      </c>
      <c r="K471" s="166">
        <f>+K472+K473</f>
        <v>0</v>
      </c>
      <c r="L471" s="218"/>
    </row>
    <row r="472" spans="1:12" ht="12.75">
      <c r="A472" s="367">
        <f t="shared" si="47"/>
        <v>453</v>
      </c>
      <c r="B472" s="368"/>
      <c r="C472" s="368"/>
      <c r="D472" s="379" t="s">
        <v>47</v>
      </c>
      <c r="E472" s="78" t="s">
        <v>272</v>
      </c>
      <c r="F472" s="375"/>
      <c r="G472" s="79">
        <f t="shared" si="46"/>
        <v>0</v>
      </c>
      <c r="H472" s="77"/>
      <c r="I472" s="77"/>
      <c r="J472" s="464"/>
      <c r="K472" s="77"/>
      <c r="L472" s="218"/>
    </row>
    <row r="473" spans="1:12" ht="12.75">
      <c r="A473" s="367">
        <f t="shared" si="47"/>
        <v>454</v>
      </c>
      <c r="B473" s="368"/>
      <c r="C473" s="368"/>
      <c r="D473" s="379" t="s">
        <v>80</v>
      </c>
      <c r="E473" s="66" t="s">
        <v>211</v>
      </c>
      <c r="F473" s="375"/>
      <c r="G473" s="79">
        <f t="shared" si="46"/>
        <v>0</v>
      </c>
      <c r="H473" s="77"/>
      <c r="I473" s="77"/>
      <c r="J473" s="464"/>
      <c r="K473" s="77"/>
      <c r="L473" s="218"/>
    </row>
    <row r="474" spans="1:12" ht="12.75">
      <c r="A474" s="367">
        <f t="shared" si="47"/>
        <v>455</v>
      </c>
      <c r="B474" s="368"/>
      <c r="C474" s="377" t="s">
        <v>160</v>
      </c>
      <c r="D474" s="369"/>
      <c r="E474" s="85" t="s">
        <v>212</v>
      </c>
      <c r="F474" s="422"/>
      <c r="G474" s="79">
        <f t="shared" si="46"/>
        <v>0</v>
      </c>
      <c r="H474" s="467"/>
      <c r="I474" s="467"/>
      <c r="J474" s="468"/>
      <c r="K474" s="467"/>
      <c r="L474" s="218"/>
    </row>
    <row r="475" spans="1:12" ht="12.75">
      <c r="A475" s="367">
        <f t="shared" si="47"/>
        <v>456</v>
      </c>
      <c r="B475" s="368"/>
      <c r="C475" s="368">
        <v>10</v>
      </c>
      <c r="D475" s="369"/>
      <c r="E475" s="85" t="s">
        <v>213</v>
      </c>
      <c r="F475" s="422"/>
      <c r="G475" s="79">
        <f aca="true" t="shared" si="48" ref="G475:G543">H475+I475+J475+K475</f>
        <v>0</v>
      </c>
      <c r="H475" s="467"/>
      <c r="I475" s="467"/>
      <c r="J475" s="468"/>
      <c r="K475" s="467"/>
      <c r="L475" s="218"/>
    </row>
    <row r="476" spans="1:12" ht="12.75">
      <c r="A476" s="367">
        <f aca="true" t="shared" si="49" ref="A476:A543">A475+1</f>
        <v>457</v>
      </c>
      <c r="B476" s="368"/>
      <c r="C476" s="368">
        <v>11</v>
      </c>
      <c r="D476" s="369"/>
      <c r="E476" s="85" t="s">
        <v>273</v>
      </c>
      <c r="F476" s="422"/>
      <c r="G476" s="79">
        <f t="shared" si="48"/>
        <v>0</v>
      </c>
      <c r="H476" s="467"/>
      <c r="I476" s="467"/>
      <c r="J476" s="468"/>
      <c r="K476" s="467"/>
      <c r="L476" s="218"/>
    </row>
    <row r="477" spans="1:12" ht="12.75">
      <c r="A477" s="367">
        <f t="shared" si="49"/>
        <v>458</v>
      </c>
      <c r="B477" s="368"/>
      <c r="C477" s="368">
        <v>12</v>
      </c>
      <c r="D477" s="369"/>
      <c r="E477" s="85" t="s">
        <v>274</v>
      </c>
      <c r="F477" s="422"/>
      <c r="G477" s="79">
        <f t="shared" si="48"/>
        <v>0</v>
      </c>
      <c r="H477" s="467"/>
      <c r="I477" s="467"/>
      <c r="J477" s="468"/>
      <c r="K477" s="467"/>
      <c r="L477" s="218"/>
    </row>
    <row r="478" spans="1:12" ht="12.75">
      <c r="A478" s="367">
        <f t="shared" si="49"/>
        <v>459</v>
      </c>
      <c r="B478" s="368"/>
      <c r="C478" s="368">
        <v>13</v>
      </c>
      <c r="D478" s="369"/>
      <c r="E478" s="85" t="s">
        <v>216</v>
      </c>
      <c r="F478" s="422"/>
      <c r="G478" s="79">
        <f t="shared" si="48"/>
        <v>0</v>
      </c>
      <c r="H478" s="467"/>
      <c r="I478" s="467"/>
      <c r="J478" s="468"/>
      <c r="K478" s="467"/>
      <c r="L478" s="218"/>
    </row>
    <row r="479" spans="1:12" ht="12.75">
      <c r="A479" s="367">
        <f t="shared" si="49"/>
        <v>460</v>
      </c>
      <c r="B479" s="368"/>
      <c r="C479" s="368">
        <v>14</v>
      </c>
      <c r="D479" s="369"/>
      <c r="E479" s="85" t="s">
        <v>217</v>
      </c>
      <c r="F479" s="422"/>
      <c r="G479" s="79">
        <f t="shared" si="48"/>
        <v>0</v>
      </c>
      <c r="H479" s="467"/>
      <c r="I479" s="467"/>
      <c r="J479" s="468"/>
      <c r="K479" s="467"/>
      <c r="L479" s="218"/>
    </row>
    <row r="480" spans="1:12" ht="12.75">
      <c r="A480" s="367">
        <f t="shared" si="49"/>
        <v>461</v>
      </c>
      <c r="B480" s="368"/>
      <c r="C480" s="368">
        <v>25</v>
      </c>
      <c r="D480" s="369"/>
      <c r="E480" s="85" t="s">
        <v>218</v>
      </c>
      <c r="F480" s="422"/>
      <c r="G480" s="79">
        <f t="shared" si="48"/>
        <v>0</v>
      </c>
      <c r="H480" s="467"/>
      <c r="I480" s="467"/>
      <c r="J480" s="468"/>
      <c r="K480" s="467"/>
      <c r="L480" s="218"/>
    </row>
    <row r="481" spans="1:12" ht="12.75">
      <c r="A481" s="367">
        <f t="shared" si="49"/>
        <v>462</v>
      </c>
      <c r="B481" s="368"/>
      <c r="C481" s="368">
        <v>27</v>
      </c>
      <c r="D481" s="369"/>
      <c r="E481" s="85" t="s">
        <v>219</v>
      </c>
      <c r="F481" s="422"/>
      <c r="G481" s="79">
        <f t="shared" si="48"/>
        <v>0</v>
      </c>
      <c r="H481" s="467"/>
      <c r="I481" s="467"/>
      <c r="J481" s="468"/>
      <c r="K481" s="467"/>
      <c r="L481" s="218"/>
    </row>
    <row r="482" spans="1:12" ht="12.75">
      <c r="A482" s="367">
        <f t="shared" si="49"/>
        <v>463</v>
      </c>
      <c r="B482" s="368"/>
      <c r="C482" s="368">
        <v>30</v>
      </c>
      <c r="D482" s="369"/>
      <c r="E482" s="85" t="s">
        <v>120</v>
      </c>
      <c r="F482" s="49">
        <f>+F483+F484+F485+F486+F487</f>
        <v>0</v>
      </c>
      <c r="G482" s="50">
        <f t="shared" si="48"/>
        <v>0</v>
      </c>
      <c r="H482" s="166">
        <f>+H483+H484+H485+H486+H487</f>
        <v>0</v>
      </c>
      <c r="I482" s="166">
        <f>+I483+I484+I485+I486+I487</f>
        <v>0</v>
      </c>
      <c r="J482" s="461">
        <f>+J483+J484+J485+J486+J487</f>
        <v>0</v>
      </c>
      <c r="K482" s="166">
        <f>+K483+K484+K485+K486+K487</f>
        <v>0</v>
      </c>
      <c r="L482" s="218"/>
    </row>
    <row r="483" spans="1:12" ht="12.75">
      <c r="A483" s="367">
        <f t="shared" si="49"/>
        <v>464</v>
      </c>
      <c r="B483" s="368"/>
      <c r="C483" s="368"/>
      <c r="D483" s="379" t="s">
        <v>47</v>
      </c>
      <c r="E483" s="66" t="s">
        <v>220</v>
      </c>
      <c r="F483" s="375"/>
      <c r="G483" s="79">
        <f t="shared" si="48"/>
        <v>0</v>
      </c>
      <c r="H483" s="77"/>
      <c r="I483" s="77"/>
      <c r="J483" s="464"/>
      <c r="K483" s="77"/>
      <c r="L483" s="218"/>
    </row>
    <row r="484" spans="1:12" ht="12.75">
      <c r="A484" s="367">
        <f t="shared" si="49"/>
        <v>465</v>
      </c>
      <c r="B484" s="368"/>
      <c r="C484" s="368"/>
      <c r="D484" s="379" t="s">
        <v>84</v>
      </c>
      <c r="E484" s="66" t="s">
        <v>221</v>
      </c>
      <c r="F484" s="375"/>
      <c r="G484" s="79">
        <f t="shared" si="48"/>
        <v>0</v>
      </c>
      <c r="H484" s="77"/>
      <c r="I484" s="77"/>
      <c r="J484" s="464"/>
      <c r="K484" s="77"/>
      <c r="L484" s="218"/>
    </row>
    <row r="485" spans="1:12" ht="12.75">
      <c r="A485" s="367">
        <f t="shared" si="49"/>
        <v>466</v>
      </c>
      <c r="B485" s="368"/>
      <c r="C485" s="368"/>
      <c r="D485" s="379" t="s">
        <v>108</v>
      </c>
      <c r="E485" s="66" t="s">
        <v>222</v>
      </c>
      <c r="F485" s="375"/>
      <c r="G485" s="79">
        <f t="shared" si="48"/>
        <v>0</v>
      </c>
      <c r="H485" s="77"/>
      <c r="I485" s="77"/>
      <c r="J485" s="464"/>
      <c r="K485" s="77"/>
      <c r="L485" s="218"/>
    </row>
    <row r="486" spans="1:12" ht="12.75">
      <c r="A486" s="367">
        <f t="shared" si="49"/>
        <v>467</v>
      </c>
      <c r="B486" s="368"/>
      <c r="C486" s="368"/>
      <c r="D486" s="379" t="s">
        <v>160</v>
      </c>
      <c r="E486" s="66" t="s">
        <v>223</v>
      </c>
      <c r="F486" s="375"/>
      <c r="G486" s="79">
        <f t="shared" si="48"/>
        <v>0</v>
      </c>
      <c r="H486" s="77"/>
      <c r="I486" s="77"/>
      <c r="J486" s="464"/>
      <c r="K486" s="77"/>
      <c r="L486" s="218"/>
    </row>
    <row r="487" spans="1:12" ht="12.75">
      <c r="A487" s="367">
        <f t="shared" si="49"/>
        <v>468</v>
      </c>
      <c r="B487" s="368"/>
      <c r="C487" s="368"/>
      <c r="D487" s="369">
        <v>30</v>
      </c>
      <c r="E487" s="66" t="s">
        <v>224</v>
      </c>
      <c r="F487" s="375"/>
      <c r="G487" s="79">
        <f t="shared" si="48"/>
        <v>0</v>
      </c>
      <c r="H487" s="77"/>
      <c r="I487" s="77"/>
      <c r="J487" s="464"/>
      <c r="K487" s="77"/>
      <c r="L487" s="218"/>
    </row>
    <row r="488" spans="1:12" ht="12.75">
      <c r="A488" s="367">
        <f t="shared" si="49"/>
        <v>469</v>
      </c>
      <c r="B488" s="395">
        <v>30</v>
      </c>
      <c r="C488" s="395"/>
      <c r="D488" s="396"/>
      <c r="E488" s="418" t="s">
        <v>225</v>
      </c>
      <c r="F488" s="49">
        <f>+F489</f>
        <v>0</v>
      </c>
      <c r="G488" s="50">
        <f t="shared" si="48"/>
        <v>0</v>
      </c>
      <c r="H488" s="49">
        <f aca="true" t="shared" si="50" ref="H488:K489">+H489</f>
        <v>0</v>
      </c>
      <c r="I488" s="49">
        <f t="shared" si="50"/>
        <v>0</v>
      </c>
      <c r="J488" s="209">
        <f t="shared" si="50"/>
        <v>0</v>
      </c>
      <c r="K488" s="49">
        <f t="shared" si="50"/>
        <v>0</v>
      </c>
      <c r="L488" s="218"/>
    </row>
    <row r="489" spans="1:12" ht="12.75">
      <c r="A489" s="367">
        <f t="shared" si="49"/>
        <v>470</v>
      </c>
      <c r="B489" s="395"/>
      <c r="C489" s="401" t="s">
        <v>84</v>
      </c>
      <c r="D489" s="396"/>
      <c r="E489" s="418" t="s">
        <v>226</v>
      </c>
      <c r="F489" s="49">
        <f>+F490</f>
        <v>0</v>
      </c>
      <c r="G489" s="50">
        <f t="shared" si="48"/>
        <v>0</v>
      </c>
      <c r="H489" s="49">
        <f t="shared" si="50"/>
        <v>0</v>
      </c>
      <c r="I489" s="49">
        <f t="shared" si="50"/>
        <v>0</v>
      </c>
      <c r="J489" s="209">
        <f t="shared" si="50"/>
        <v>0</v>
      </c>
      <c r="K489" s="49">
        <f t="shared" si="50"/>
        <v>0</v>
      </c>
      <c r="L489" s="218"/>
    </row>
    <row r="490" spans="1:12" ht="12.75">
      <c r="A490" s="367">
        <f t="shared" si="49"/>
        <v>471</v>
      </c>
      <c r="B490" s="395"/>
      <c r="C490" s="401"/>
      <c r="D490" s="402" t="s">
        <v>41</v>
      </c>
      <c r="E490" s="419" t="s">
        <v>227</v>
      </c>
      <c r="F490" s="375"/>
      <c r="G490" s="79">
        <f t="shared" si="48"/>
        <v>0</v>
      </c>
      <c r="H490" s="375"/>
      <c r="I490" s="375"/>
      <c r="J490" s="447"/>
      <c r="K490" s="375"/>
      <c r="L490" s="218"/>
    </row>
    <row r="491" spans="1:12" ht="25.5">
      <c r="A491" s="367">
        <f t="shared" si="49"/>
        <v>472</v>
      </c>
      <c r="B491" s="404" t="s">
        <v>228</v>
      </c>
      <c r="C491" s="401"/>
      <c r="D491" s="402"/>
      <c r="E491" s="413" t="s">
        <v>229</v>
      </c>
      <c r="F491" s="375"/>
      <c r="G491" s="79">
        <f t="shared" si="48"/>
        <v>0</v>
      </c>
      <c r="H491" s="375"/>
      <c r="I491" s="375"/>
      <c r="J491" s="447"/>
      <c r="K491" s="375"/>
      <c r="L491" s="218"/>
    </row>
    <row r="492" spans="1:12" ht="12.75">
      <c r="A492" s="367">
        <f t="shared" si="49"/>
        <v>473</v>
      </c>
      <c r="B492" s="395">
        <v>57</v>
      </c>
      <c r="C492" s="401"/>
      <c r="D492" s="402"/>
      <c r="E492" s="418" t="s">
        <v>230</v>
      </c>
      <c r="F492" s="109">
        <f>F493+F494</f>
        <v>0</v>
      </c>
      <c r="G492" s="168">
        <f t="shared" si="48"/>
        <v>0</v>
      </c>
      <c r="H492" s="109">
        <f>H493+H494</f>
        <v>0</v>
      </c>
      <c r="I492" s="109">
        <f>I493+I494</f>
        <v>0</v>
      </c>
      <c r="J492" s="211">
        <f>J493</f>
        <v>0</v>
      </c>
      <c r="K492" s="109">
        <f>K493+K494</f>
        <v>0</v>
      </c>
      <c r="L492" s="218"/>
    </row>
    <row r="493" spans="1:12" ht="12.75">
      <c r="A493" s="367">
        <f t="shared" si="49"/>
        <v>474</v>
      </c>
      <c r="B493" s="395"/>
      <c r="C493" s="401" t="s">
        <v>47</v>
      </c>
      <c r="D493" s="402"/>
      <c r="E493" s="418" t="s">
        <v>231</v>
      </c>
      <c r="F493" s="109"/>
      <c r="G493" s="168">
        <f t="shared" si="48"/>
        <v>0</v>
      </c>
      <c r="H493" s="109"/>
      <c r="I493" s="109"/>
      <c r="J493" s="211"/>
      <c r="K493" s="109"/>
      <c r="L493" s="218"/>
    </row>
    <row r="494" spans="1:12" ht="12.75">
      <c r="A494" s="367">
        <f t="shared" si="49"/>
        <v>475</v>
      </c>
      <c r="B494" s="395"/>
      <c r="C494" s="401" t="s">
        <v>80</v>
      </c>
      <c r="D494" s="402"/>
      <c r="E494" s="419" t="s">
        <v>232</v>
      </c>
      <c r="F494" s="109">
        <f>F495+F496+F497+F498</f>
        <v>0</v>
      </c>
      <c r="G494" s="168">
        <f t="shared" si="48"/>
        <v>0</v>
      </c>
      <c r="H494" s="109">
        <f>H495+H496+H497+H498</f>
        <v>0</v>
      </c>
      <c r="I494" s="109">
        <f>I495+I496+I497+I498</f>
        <v>0</v>
      </c>
      <c r="J494" s="211">
        <f>J495+J496+J497+J498</f>
        <v>0</v>
      </c>
      <c r="K494" s="109">
        <f>K495+K496+K497+K498</f>
        <v>0</v>
      </c>
      <c r="L494" s="218"/>
    </row>
    <row r="495" spans="1:12" ht="12.75">
      <c r="A495" s="367">
        <f t="shared" si="49"/>
        <v>476</v>
      </c>
      <c r="B495" s="395"/>
      <c r="C495" s="401"/>
      <c r="D495" s="402" t="s">
        <v>47</v>
      </c>
      <c r="E495" s="419" t="s">
        <v>233</v>
      </c>
      <c r="F495" s="423"/>
      <c r="G495" s="424">
        <f t="shared" si="48"/>
        <v>0</v>
      </c>
      <c r="H495" s="423"/>
      <c r="I495" s="423"/>
      <c r="J495" s="469"/>
      <c r="K495" s="423"/>
      <c r="L495" s="218"/>
    </row>
    <row r="496" spans="1:12" ht="12.75">
      <c r="A496" s="367">
        <f t="shared" si="49"/>
        <v>477</v>
      </c>
      <c r="B496" s="395"/>
      <c r="C496" s="401"/>
      <c r="D496" s="402" t="s">
        <v>80</v>
      </c>
      <c r="E496" s="419" t="s">
        <v>234</v>
      </c>
      <c r="F496" s="423"/>
      <c r="G496" s="424">
        <f t="shared" si="48"/>
        <v>0</v>
      </c>
      <c r="H496" s="423"/>
      <c r="I496" s="423"/>
      <c r="J496" s="469"/>
      <c r="K496" s="423"/>
      <c r="L496" s="218"/>
    </row>
    <row r="497" spans="1:12" ht="12.75">
      <c r="A497" s="367">
        <f t="shared" si="49"/>
        <v>478</v>
      </c>
      <c r="B497" s="395"/>
      <c r="C497" s="401"/>
      <c r="D497" s="402" t="s">
        <v>84</v>
      </c>
      <c r="E497" s="419" t="s">
        <v>235</v>
      </c>
      <c r="F497" s="423"/>
      <c r="G497" s="424">
        <f t="shared" si="48"/>
        <v>0</v>
      </c>
      <c r="H497" s="423"/>
      <c r="I497" s="423"/>
      <c r="J497" s="469"/>
      <c r="K497" s="423"/>
      <c r="L497" s="218"/>
    </row>
    <row r="498" spans="1:12" ht="12.75">
      <c r="A498" s="367">
        <f t="shared" si="49"/>
        <v>479</v>
      </c>
      <c r="B498" s="395"/>
      <c r="C498" s="401"/>
      <c r="D498" s="402" t="s">
        <v>108</v>
      </c>
      <c r="E498" s="419" t="s">
        <v>236</v>
      </c>
      <c r="F498" s="423"/>
      <c r="G498" s="424">
        <f t="shared" si="48"/>
        <v>0</v>
      </c>
      <c r="H498" s="423"/>
      <c r="I498" s="423"/>
      <c r="J498" s="469"/>
      <c r="K498" s="423"/>
      <c r="L498" s="218"/>
    </row>
    <row r="499" spans="1:12" ht="12.75">
      <c r="A499" s="367">
        <f>A498+1</f>
        <v>480</v>
      </c>
      <c r="B499" s="368">
        <v>70</v>
      </c>
      <c r="C499" s="368"/>
      <c r="D499" s="369"/>
      <c r="E499" s="85" t="s">
        <v>288</v>
      </c>
      <c r="F499" s="49">
        <f>+F500</f>
        <v>0</v>
      </c>
      <c r="G499" s="50">
        <f t="shared" si="48"/>
        <v>4078.3</v>
      </c>
      <c r="H499" s="166">
        <f>+H500</f>
        <v>0</v>
      </c>
      <c r="I499" s="166">
        <f>+I500</f>
        <v>1936.3</v>
      </c>
      <c r="J499" s="461">
        <f>+J500</f>
        <v>1550</v>
      </c>
      <c r="K499" s="166">
        <f>+K500</f>
        <v>592</v>
      </c>
      <c r="L499" s="218"/>
    </row>
    <row r="500" spans="1:12" ht="12.75">
      <c r="A500" s="367">
        <f t="shared" si="49"/>
        <v>481</v>
      </c>
      <c r="B500" s="368">
        <v>71</v>
      </c>
      <c r="C500" s="368"/>
      <c r="D500" s="369"/>
      <c r="E500" s="85" t="s">
        <v>238</v>
      </c>
      <c r="F500" s="49">
        <f>+F501+F506</f>
        <v>0</v>
      </c>
      <c r="G500" s="50">
        <f t="shared" si="48"/>
        <v>4078.3</v>
      </c>
      <c r="H500" s="166">
        <f>+H501+H506</f>
        <v>0</v>
      </c>
      <c r="I500" s="166">
        <f>+I501+I506</f>
        <v>1936.3</v>
      </c>
      <c r="J500" s="461">
        <f>+J501+J506</f>
        <v>1550</v>
      </c>
      <c r="K500" s="166">
        <f>+K501+K506</f>
        <v>592</v>
      </c>
      <c r="L500" s="218"/>
    </row>
    <row r="501" spans="1:12" ht="12.75">
      <c r="A501" s="367">
        <f t="shared" si="49"/>
        <v>482</v>
      </c>
      <c r="B501" s="368"/>
      <c r="C501" s="377" t="s">
        <v>47</v>
      </c>
      <c r="D501" s="369"/>
      <c r="E501" s="85" t="s">
        <v>77</v>
      </c>
      <c r="F501" s="49">
        <f>+F502+F503+F504+F505</f>
        <v>0</v>
      </c>
      <c r="G501" s="50">
        <f t="shared" si="48"/>
        <v>0</v>
      </c>
      <c r="H501" s="166">
        <f>+H502+H503+H504+H505</f>
        <v>0</v>
      </c>
      <c r="I501" s="166">
        <f>+I502+I503+I504+I505</f>
        <v>0</v>
      </c>
      <c r="J501" s="461">
        <f>+J502+J503+J504+J505</f>
        <v>0</v>
      </c>
      <c r="K501" s="166">
        <f>+K502+K503+K504+K505</f>
        <v>0</v>
      </c>
      <c r="L501" s="218"/>
    </row>
    <row r="502" spans="1:12" ht="12.75">
      <c r="A502" s="367">
        <f t="shared" si="49"/>
        <v>483</v>
      </c>
      <c r="B502" s="368"/>
      <c r="C502" s="368"/>
      <c r="D502" s="379" t="s">
        <v>47</v>
      </c>
      <c r="E502" s="66" t="s">
        <v>239</v>
      </c>
      <c r="F502" s="375"/>
      <c r="G502" s="79">
        <f t="shared" si="48"/>
        <v>0</v>
      </c>
      <c r="H502" s="77"/>
      <c r="I502" s="77"/>
      <c r="J502" s="464"/>
      <c r="K502" s="77"/>
      <c r="L502" s="218"/>
    </row>
    <row r="503" spans="1:12" ht="12.75">
      <c r="A503" s="367">
        <f t="shared" si="49"/>
        <v>484</v>
      </c>
      <c r="B503" s="368"/>
      <c r="C503" s="368"/>
      <c r="D503" s="379" t="s">
        <v>80</v>
      </c>
      <c r="E503" s="66" t="s">
        <v>81</v>
      </c>
      <c r="F503" s="375"/>
      <c r="G503" s="79">
        <f t="shared" si="48"/>
        <v>0</v>
      </c>
      <c r="H503" s="77"/>
      <c r="I503" s="77"/>
      <c r="J503" s="464"/>
      <c r="K503" s="77"/>
      <c r="L503" s="218"/>
    </row>
    <row r="504" spans="1:12" ht="12.75">
      <c r="A504" s="367">
        <f t="shared" si="49"/>
        <v>485</v>
      </c>
      <c r="B504" s="368"/>
      <c r="C504" s="368"/>
      <c r="D504" s="379" t="s">
        <v>84</v>
      </c>
      <c r="E504" s="66" t="s">
        <v>245</v>
      </c>
      <c r="F504" s="375"/>
      <c r="G504" s="79">
        <f t="shared" si="48"/>
        <v>0</v>
      </c>
      <c r="H504" s="77"/>
      <c r="I504" s="77"/>
      <c r="J504" s="464"/>
      <c r="K504" s="77"/>
      <c r="L504" s="218"/>
    </row>
    <row r="505" spans="1:12" ht="12.75">
      <c r="A505" s="367">
        <f t="shared" si="49"/>
        <v>486</v>
      </c>
      <c r="B505" s="368"/>
      <c r="C505" s="368"/>
      <c r="D505" s="369">
        <v>30</v>
      </c>
      <c r="E505" s="66" t="s">
        <v>275</v>
      </c>
      <c r="F505" s="375"/>
      <c r="G505" s="79">
        <f t="shared" si="48"/>
        <v>0</v>
      </c>
      <c r="H505" s="77"/>
      <c r="I505" s="77"/>
      <c r="J505" s="464"/>
      <c r="K505" s="77"/>
      <c r="L505" s="218"/>
    </row>
    <row r="506" spans="1:13" ht="12.75">
      <c r="A506" s="367">
        <f t="shared" si="49"/>
        <v>487</v>
      </c>
      <c r="B506" s="368"/>
      <c r="C506" s="377" t="s">
        <v>84</v>
      </c>
      <c r="D506" s="369"/>
      <c r="E506" s="66" t="s">
        <v>243</v>
      </c>
      <c r="F506" s="375"/>
      <c r="G506" s="79">
        <f t="shared" si="48"/>
        <v>4078.3</v>
      </c>
      <c r="H506" s="77"/>
      <c r="I506" s="77">
        <v>1936.3</v>
      </c>
      <c r="J506" s="464">
        <f>2800+1157.22+979.08-400-2986.3</f>
        <v>1550</v>
      </c>
      <c r="K506" s="77">
        <f>-458+1050</f>
        <v>592</v>
      </c>
      <c r="L506" s="218"/>
      <c r="M506" s="316"/>
    </row>
    <row r="507" spans="1:12" ht="12.75">
      <c r="A507" s="367">
        <f t="shared" si="49"/>
        <v>488</v>
      </c>
      <c r="B507" s="368"/>
      <c r="C507" s="368"/>
      <c r="D507" s="369"/>
      <c r="E507" s="85" t="s">
        <v>244</v>
      </c>
      <c r="F507" s="49">
        <f>+F508+F509+F510</f>
        <v>0</v>
      </c>
      <c r="G507" s="50">
        <f t="shared" si="48"/>
        <v>0</v>
      </c>
      <c r="H507" s="49">
        <f>+H508+H509+H510</f>
        <v>0</v>
      </c>
      <c r="I507" s="49">
        <f>+I508+I509+I510</f>
        <v>0</v>
      </c>
      <c r="J507" s="209">
        <f>+J508+J509+J510</f>
        <v>0</v>
      </c>
      <c r="K507" s="49">
        <f>+K508+K509+K510</f>
        <v>0</v>
      </c>
      <c r="L507" s="218"/>
    </row>
    <row r="508" spans="1:12" ht="12.75">
      <c r="A508" s="367">
        <f t="shared" si="49"/>
        <v>489</v>
      </c>
      <c r="B508" s="368">
        <v>71</v>
      </c>
      <c r="C508" s="377" t="s">
        <v>47</v>
      </c>
      <c r="D508" s="379" t="s">
        <v>80</v>
      </c>
      <c r="E508" s="66" t="s">
        <v>81</v>
      </c>
      <c r="F508" s="375"/>
      <c r="G508" s="79">
        <f t="shared" si="48"/>
        <v>0</v>
      </c>
      <c r="H508" s="375"/>
      <c r="I508" s="375"/>
      <c r="J508" s="447"/>
      <c r="K508" s="375"/>
      <c r="L508" s="218"/>
    </row>
    <row r="509" spans="1:12" ht="12.75">
      <c r="A509" s="367">
        <f t="shared" si="49"/>
        <v>490</v>
      </c>
      <c r="B509" s="368"/>
      <c r="C509" s="368"/>
      <c r="D509" s="379" t="s">
        <v>84</v>
      </c>
      <c r="E509" s="66" t="s">
        <v>245</v>
      </c>
      <c r="F509" s="375"/>
      <c r="G509" s="79">
        <f t="shared" si="48"/>
        <v>0</v>
      </c>
      <c r="H509" s="375"/>
      <c r="I509" s="375"/>
      <c r="J509" s="447"/>
      <c r="K509" s="375"/>
      <c r="L509" s="218"/>
    </row>
    <row r="510" spans="1:12" ht="12.75">
      <c r="A510" s="367">
        <f t="shared" si="49"/>
        <v>491</v>
      </c>
      <c r="B510" s="368"/>
      <c r="C510" s="368"/>
      <c r="D510" s="369">
        <v>30</v>
      </c>
      <c r="E510" s="97" t="s">
        <v>242</v>
      </c>
      <c r="F510" s="375"/>
      <c r="G510" s="79">
        <f t="shared" si="48"/>
        <v>0</v>
      </c>
      <c r="H510" s="375"/>
      <c r="I510" s="375"/>
      <c r="J510" s="447"/>
      <c r="K510" s="375"/>
      <c r="L510" s="218"/>
    </row>
    <row r="511" spans="1:12" ht="12.75">
      <c r="A511" s="367">
        <f t="shared" si="49"/>
        <v>492</v>
      </c>
      <c r="B511" s="368"/>
      <c r="C511" s="368"/>
      <c r="D511" s="369"/>
      <c r="E511" s="66" t="s">
        <v>246</v>
      </c>
      <c r="F511" s="168">
        <f>F513</f>
        <v>0</v>
      </c>
      <c r="G511" s="50">
        <f t="shared" si="48"/>
        <v>4685.639999999999</v>
      </c>
      <c r="H511" s="168">
        <f>H513</f>
        <v>0</v>
      </c>
      <c r="I511" s="168">
        <f>I513</f>
        <v>1936.3</v>
      </c>
      <c r="J511" s="212">
        <f>J513</f>
        <v>1828.34</v>
      </c>
      <c r="K511" s="168">
        <f>K513</f>
        <v>921</v>
      </c>
      <c r="L511" s="218"/>
    </row>
    <row r="512" spans="1:12" ht="12.75">
      <c r="A512" s="367"/>
      <c r="B512" s="368" t="s">
        <v>18</v>
      </c>
      <c r="C512" s="368" t="s">
        <v>247</v>
      </c>
      <c r="D512" s="86" t="s">
        <v>20</v>
      </c>
      <c r="E512" s="66"/>
      <c r="F512" s="109"/>
      <c r="G512" s="79">
        <f t="shared" si="48"/>
        <v>0</v>
      </c>
      <c r="H512" s="109"/>
      <c r="I512" s="109"/>
      <c r="J512" s="211"/>
      <c r="K512" s="109"/>
      <c r="L512" s="218"/>
    </row>
    <row r="513" spans="1:12" ht="12.75">
      <c r="A513" s="367">
        <f>A511+1</f>
        <v>493</v>
      </c>
      <c r="B513" s="368"/>
      <c r="C513" s="368"/>
      <c r="D513" s="369"/>
      <c r="E513" s="85" t="s">
        <v>295</v>
      </c>
      <c r="F513" s="49">
        <f>+F514+F517+F518</f>
        <v>0</v>
      </c>
      <c r="G513" s="50">
        <f t="shared" si="48"/>
        <v>4685.639999999999</v>
      </c>
      <c r="H513" s="49">
        <f>+H514+H517+H518+H522</f>
        <v>0</v>
      </c>
      <c r="I513" s="49">
        <f>+I514+I517+I518+I522</f>
        <v>1936.3</v>
      </c>
      <c r="J513" s="209">
        <f>+J514+J517+J518+J522</f>
        <v>1828.34</v>
      </c>
      <c r="K513" s="49">
        <f>+K514+K517+K518+K522</f>
        <v>921</v>
      </c>
      <c r="L513" s="218"/>
    </row>
    <row r="514" spans="1:12" ht="12.75">
      <c r="A514" s="367">
        <f t="shared" si="49"/>
        <v>494</v>
      </c>
      <c r="B514" s="368"/>
      <c r="C514" s="377" t="s">
        <v>108</v>
      </c>
      <c r="D514" s="369"/>
      <c r="E514" s="59" t="s">
        <v>250</v>
      </c>
      <c r="F514" s="49">
        <f>+F515+F516</f>
        <v>0</v>
      </c>
      <c r="G514" s="50">
        <f t="shared" si="48"/>
        <v>0</v>
      </c>
      <c r="H514" s="49">
        <f>+H515+H516</f>
        <v>0</v>
      </c>
      <c r="I514" s="49">
        <f>+I515+I516</f>
        <v>0</v>
      </c>
      <c r="J514" s="209">
        <f>+J515+J516</f>
        <v>0</v>
      </c>
      <c r="K514" s="49">
        <f>+K515+K516</f>
        <v>0</v>
      </c>
      <c r="L514" s="218"/>
    </row>
    <row r="515" spans="1:12" ht="12.75">
      <c r="A515" s="367">
        <f t="shared" si="49"/>
        <v>495</v>
      </c>
      <c r="B515" s="368"/>
      <c r="C515" s="368"/>
      <c r="D515" s="379" t="s">
        <v>80</v>
      </c>
      <c r="E515" s="66" t="s">
        <v>251</v>
      </c>
      <c r="F515" s="375"/>
      <c r="G515" s="79">
        <f t="shared" si="48"/>
        <v>0</v>
      </c>
      <c r="H515" s="375"/>
      <c r="I515" s="375"/>
      <c r="J515" s="447"/>
      <c r="K515" s="375"/>
      <c r="L515" s="218"/>
    </row>
    <row r="516" spans="1:12" ht="12.75">
      <c r="A516" s="367">
        <f t="shared" si="49"/>
        <v>496</v>
      </c>
      <c r="B516" s="368"/>
      <c r="C516" s="368"/>
      <c r="D516" s="369">
        <v>50</v>
      </c>
      <c r="E516" s="66" t="s">
        <v>278</v>
      </c>
      <c r="F516" s="375"/>
      <c r="G516" s="79">
        <f t="shared" si="48"/>
        <v>0</v>
      </c>
      <c r="H516" s="375"/>
      <c r="I516" s="375"/>
      <c r="J516" s="447"/>
      <c r="K516" s="375"/>
      <c r="L516" s="218"/>
    </row>
    <row r="517" spans="1:12" ht="12.75">
      <c r="A517" s="367">
        <f t="shared" si="49"/>
        <v>497</v>
      </c>
      <c r="B517" s="368"/>
      <c r="C517" s="377" t="s">
        <v>41</v>
      </c>
      <c r="D517" s="369"/>
      <c r="E517" s="59" t="s">
        <v>253</v>
      </c>
      <c r="F517" s="375"/>
      <c r="G517" s="79">
        <f t="shared" si="48"/>
        <v>0</v>
      </c>
      <c r="H517" s="375"/>
      <c r="I517" s="375"/>
      <c r="J517" s="447"/>
      <c r="K517" s="375"/>
      <c r="L517" s="218"/>
    </row>
    <row r="518" spans="1:12" ht="12.75">
      <c r="A518" s="367">
        <f t="shared" si="49"/>
        <v>498</v>
      </c>
      <c r="B518" s="368"/>
      <c r="C518" s="377" t="s">
        <v>154</v>
      </c>
      <c r="D518" s="369"/>
      <c r="E518" s="59" t="s">
        <v>289</v>
      </c>
      <c r="F518" s="49">
        <f>+F519+F520</f>
        <v>0</v>
      </c>
      <c r="G518" s="50">
        <f t="shared" si="48"/>
        <v>4685.639999999999</v>
      </c>
      <c r="H518" s="49">
        <f>+H519+H520+H521</f>
        <v>0</v>
      </c>
      <c r="I518" s="49">
        <f>+I519+I520+I521</f>
        <v>1936.3</v>
      </c>
      <c r="J518" s="209">
        <f>+J519+J520+J521</f>
        <v>1828.34</v>
      </c>
      <c r="K518" s="49">
        <f>+K519+K520+K521</f>
        <v>921</v>
      </c>
      <c r="L518" s="218"/>
    </row>
    <row r="519" spans="1:12" ht="12.75">
      <c r="A519" s="367">
        <f t="shared" si="49"/>
        <v>499</v>
      </c>
      <c r="B519" s="368"/>
      <c r="C519" s="368"/>
      <c r="D519" s="379" t="s">
        <v>47</v>
      </c>
      <c r="E519" s="66" t="s">
        <v>255</v>
      </c>
      <c r="F519" s="375">
        <v>0</v>
      </c>
      <c r="G519" s="50">
        <f t="shared" si="48"/>
        <v>4685.639999999999</v>
      </c>
      <c r="H519" s="375">
        <v>0</v>
      </c>
      <c r="I519" s="375">
        <v>1936.3</v>
      </c>
      <c r="J519" s="447">
        <v>1828.34</v>
      </c>
      <c r="K519" s="375">
        <v>921</v>
      </c>
      <c r="L519" s="218"/>
    </row>
    <row r="520" spans="1:20" ht="12.75">
      <c r="A520" s="367">
        <f t="shared" si="49"/>
        <v>500</v>
      </c>
      <c r="B520" s="368"/>
      <c r="C520" s="368"/>
      <c r="D520" s="379" t="s">
        <v>154</v>
      </c>
      <c r="E520" s="66" t="s">
        <v>296</v>
      </c>
      <c r="F520" s="375"/>
      <c r="G520" s="79">
        <f t="shared" si="48"/>
        <v>0</v>
      </c>
      <c r="H520" s="375"/>
      <c r="I520" s="375"/>
      <c r="J520" s="447"/>
      <c r="K520" s="375"/>
      <c r="L520" s="218"/>
      <c r="N520" s="123"/>
      <c r="O520" s="123"/>
      <c r="P520" s="214"/>
      <c r="Q520" s="123"/>
      <c r="R520" s="123"/>
      <c r="S520" s="123"/>
      <c r="T520" s="123"/>
    </row>
    <row r="521" spans="1:20" ht="12.75">
      <c r="A521" s="367">
        <f t="shared" si="49"/>
        <v>501</v>
      </c>
      <c r="B521" s="368"/>
      <c r="C521" s="379">
        <v>10</v>
      </c>
      <c r="D521" s="379"/>
      <c r="E521" s="66" t="s">
        <v>290</v>
      </c>
      <c r="F521" s="375"/>
      <c r="G521" s="79">
        <f t="shared" si="48"/>
        <v>0</v>
      </c>
      <c r="H521" s="375"/>
      <c r="I521" s="375"/>
      <c r="J521" s="447"/>
      <c r="K521" s="375"/>
      <c r="L521" s="218"/>
      <c r="N521" s="123"/>
      <c r="O521" s="123"/>
      <c r="P521" s="123"/>
      <c r="Q521" s="123"/>
      <c r="R521" s="123"/>
      <c r="S521" s="123"/>
      <c r="T521" s="123"/>
    </row>
    <row r="522" spans="1:20" ht="12.75">
      <c r="A522" s="367">
        <f t="shared" si="49"/>
        <v>502</v>
      </c>
      <c r="B522" s="368"/>
      <c r="C522" s="421">
        <v>50</v>
      </c>
      <c r="D522" s="421"/>
      <c r="E522" s="59" t="s">
        <v>291</v>
      </c>
      <c r="F522" s="109"/>
      <c r="G522" s="50">
        <f t="shared" si="48"/>
        <v>0</v>
      </c>
      <c r="H522" s="168">
        <f>H523+H524</f>
        <v>0</v>
      </c>
      <c r="I522" s="168">
        <f>I523+I524</f>
        <v>0</v>
      </c>
      <c r="J522" s="212">
        <f>J523+J524</f>
        <v>0</v>
      </c>
      <c r="K522" s="168">
        <f>K523+K524</f>
        <v>0</v>
      </c>
      <c r="L522" s="218"/>
      <c r="N522" s="123"/>
      <c r="O522" s="123"/>
      <c r="P522" s="123"/>
      <c r="Q522" s="123"/>
      <c r="R522" s="123"/>
      <c r="S522" s="123"/>
      <c r="T522" s="123"/>
    </row>
    <row r="523" spans="1:20" ht="12.75">
      <c r="A523" s="367">
        <f t="shared" si="49"/>
        <v>503</v>
      </c>
      <c r="B523" s="368"/>
      <c r="C523" s="368"/>
      <c r="D523" s="379">
        <v>1</v>
      </c>
      <c r="E523" s="66" t="s">
        <v>259</v>
      </c>
      <c r="F523" s="375"/>
      <c r="G523" s="79">
        <f t="shared" si="48"/>
        <v>0</v>
      </c>
      <c r="H523" s="375"/>
      <c r="I523" s="375"/>
      <c r="J523" s="447"/>
      <c r="K523" s="375"/>
      <c r="L523" s="218"/>
      <c r="N523" s="123"/>
      <c r="O523" s="123"/>
      <c r="P523" s="123"/>
      <c r="Q523" s="123"/>
      <c r="R523" s="123"/>
      <c r="S523" s="123"/>
      <c r="T523" s="123"/>
    </row>
    <row r="524" spans="1:20" ht="12.75">
      <c r="A524" s="367">
        <f t="shared" si="49"/>
        <v>504</v>
      </c>
      <c r="B524" s="368"/>
      <c r="C524" s="368"/>
      <c r="D524" s="379">
        <v>50</v>
      </c>
      <c r="E524" s="66" t="s">
        <v>292</v>
      </c>
      <c r="F524" s="375"/>
      <c r="G524" s="79">
        <f t="shared" si="48"/>
        <v>0</v>
      </c>
      <c r="H524" s="375"/>
      <c r="I524" s="375"/>
      <c r="J524" s="447"/>
      <c r="K524" s="375"/>
      <c r="L524" s="218"/>
      <c r="N524" s="123"/>
      <c r="O524" s="214"/>
      <c r="P524" s="214"/>
      <c r="Q524" s="214"/>
      <c r="R524" s="214"/>
      <c r="S524" s="123"/>
      <c r="T524" s="123"/>
    </row>
    <row r="525" spans="1:20" ht="51">
      <c r="A525" s="367">
        <f t="shared" si="49"/>
        <v>505</v>
      </c>
      <c r="B525" s="368"/>
      <c r="C525" s="368"/>
      <c r="D525" s="369"/>
      <c r="E525" s="425" t="s">
        <v>297</v>
      </c>
      <c r="F525" s="49">
        <f>+F527+F614</f>
        <v>0</v>
      </c>
      <c r="G525" s="50">
        <f t="shared" si="48"/>
        <v>15828</v>
      </c>
      <c r="H525" s="49">
        <f>+H527+H614</f>
        <v>6874</v>
      </c>
      <c r="I525" s="49">
        <f>+I527+I614</f>
        <v>3444</v>
      </c>
      <c r="J525" s="209">
        <f>+J527+J614</f>
        <v>3348</v>
      </c>
      <c r="K525" s="49">
        <f>+K527+K614</f>
        <v>2162</v>
      </c>
      <c r="L525" s="218">
        <v>15828</v>
      </c>
      <c r="M525" s="169">
        <v>6874</v>
      </c>
      <c r="N525" s="123">
        <v>3444</v>
      </c>
      <c r="O525" s="123">
        <v>3348</v>
      </c>
      <c r="P525" s="123">
        <v>2162</v>
      </c>
      <c r="Q525" s="123"/>
      <c r="R525" s="123"/>
      <c r="S525" s="123"/>
      <c r="T525" s="123"/>
    </row>
    <row r="526" spans="1:20" ht="12.75">
      <c r="A526" s="367"/>
      <c r="B526" s="368" t="s">
        <v>59</v>
      </c>
      <c r="C526" s="368" t="s">
        <v>60</v>
      </c>
      <c r="D526" s="86" t="s">
        <v>61</v>
      </c>
      <c r="E526" s="426"/>
      <c r="F526" s="49"/>
      <c r="G526" s="50">
        <f t="shared" si="48"/>
        <v>0</v>
      </c>
      <c r="H526" s="49"/>
      <c r="I526" s="49"/>
      <c r="J526" s="209"/>
      <c r="K526" s="49"/>
      <c r="L526" s="218"/>
      <c r="N526" s="123"/>
      <c r="O526" s="123"/>
      <c r="P526" s="123"/>
      <c r="Q526" s="123"/>
      <c r="R526" s="123"/>
      <c r="S526" s="123"/>
      <c r="T526" s="123"/>
    </row>
    <row r="527" spans="1:20" ht="12.75">
      <c r="A527" s="367">
        <f>A525+1</f>
        <v>506</v>
      </c>
      <c r="B527" s="368"/>
      <c r="C527" s="368"/>
      <c r="D527" s="369"/>
      <c r="E527" s="85" t="s">
        <v>136</v>
      </c>
      <c r="F527" s="49">
        <f>+F528+F562+F604+F607</f>
        <v>0</v>
      </c>
      <c r="G527" s="50">
        <f t="shared" si="48"/>
        <v>3285</v>
      </c>
      <c r="H527" s="166">
        <f>+H528+H562+H604</f>
        <v>1120</v>
      </c>
      <c r="I527" s="166">
        <f>+I528+I562+I604</f>
        <v>561</v>
      </c>
      <c r="J527" s="461">
        <f>+J528+J562+J604</f>
        <v>738</v>
      </c>
      <c r="K527" s="166">
        <f>+K528+K562+K604</f>
        <v>866</v>
      </c>
      <c r="L527" s="218"/>
      <c r="N527" s="123"/>
      <c r="O527" s="215"/>
      <c r="P527" s="215"/>
      <c r="Q527" s="216"/>
      <c r="R527" s="216"/>
      <c r="S527" s="219"/>
      <c r="T527" s="130"/>
    </row>
    <row r="528" spans="1:20" ht="12.75">
      <c r="A528" s="367">
        <f t="shared" si="49"/>
        <v>507</v>
      </c>
      <c r="B528" s="368"/>
      <c r="C528" s="368">
        <v>10</v>
      </c>
      <c r="D528" s="369"/>
      <c r="E528" s="85" t="s">
        <v>263</v>
      </c>
      <c r="F528" s="49">
        <f>+F529+F547+F554</f>
        <v>0</v>
      </c>
      <c r="G528" s="50">
        <f t="shared" si="48"/>
        <v>0</v>
      </c>
      <c r="H528" s="166">
        <f>+H529+H547+H554</f>
        <v>0</v>
      </c>
      <c r="I528" s="166">
        <f>+I529+I547+I554</f>
        <v>0</v>
      </c>
      <c r="J528" s="461">
        <f>+J529+J547+J554</f>
        <v>0</v>
      </c>
      <c r="K528" s="166">
        <f>+K529+K547+K554</f>
        <v>0</v>
      </c>
      <c r="L528" s="218"/>
      <c r="N528" s="123"/>
      <c r="O528" s="123"/>
      <c r="P528" s="123"/>
      <c r="Q528" s="232"/>
      <c r="R528" s="232"/>
      <c r="S528" s="219"/>
      <c r="T528" s="130"/>
    </row>
    <row r="529" spans="1:20" ht="12.75">
      <c r="A529" s="367">
        <f t="shared" si="49"/>
        <v>508</v>
      </c>
      <c r="B529" s="368"/>
      <c r="C529" s="377" t="s">
        <v>47</v>
      </c>
      <c r="D529" s="369"/>
      <c r="E529" s="85" t="s">
        <v>142</v>
      </c>
      <c r="F529" s="49">
        <f>+F530+F531+F532+F533+F534+F535+F536+F537+F538+F539+F540+F541+F542+F543+F544+F545+F546</f>
        <v>0</v>
      </c>
      <c r="G529" s="50">
        <f t="shared" si="48"/>
        <v>0</v>
      </c>
      <c r="H529" s="166">
        <f>+H530+H531+H532+H533+H534+H535+H536+H537+H538+H539+H540+H541+H542+H543+H544+H545+H546</f>
        <v>0</v>
      </c>
      <c r="I529" s="166">
        <f>+I530+I531+I532+I533+I534+I535+I536+I537+I538+I539+I540+I541+I542+I543+I544+I545+I546</f>
        <v>0</v>
      </c>
      <c r="J529" s="461">
        <f>+J530+J531+J532+J533+J534+J535+J536+J537+J538+J539+J540+J541+J542+J543+J544+J545+J546</f>
        <v>0</v>
      </c>
      <c r="K529" s="166">
        <f>+K530+K531+K532+K533+K534+K535+K536+K537+K538+K539+K540+K541+K542+K543+K544+K545+K546</f>
        <v>0</v>
      </c>
      <c r="L529" s="218"/>
      <c r="N529" s="123"/>
      <c r="O529" s="123"/>
      <c r="P529" s="123"/>
      <c r="Q529" s="232"/>
      <c r="R529" s="232"/>
      <c r="S529" s="220"/>
      <c r="T529" s="130"/>
    </row>
    <row r="530" spans="1:20" ht="12.75">
      <c r="A530" s="367">
        <f t="shared" si="49"/>
        <v>509</v>
      </c>
      <c r="B530" s="368"/>
      <c r="C530" s="368"/>
      <c r="D530" s="379" t="s">
        <v>47</v>
      </c>
      <c r="E530" s="66" t="s">
        <v>144</v>
      </c>
      <c r="F530" s="375"/>
      <c r="G530" s="79">
        <f t="shared" si="48"/>
        <v>0</v>
      </c>
      <c r="H530" s="77">
        <v>0</v>
      </c>
      <c r="I530" s="77">
        <v>0</v>
      </c>
      <c r="J530" s="464"/>
      <c r="K530" s="77"/>
      <c r="L530" s="218"/>
      <c r="N530" s="123"/>
      <c r="O530" s="123"/>
      <c r="P530" s="123"/>
      <c r="Q530" s="232"/>
      <c r="R530" s="232"/>
      <c r="S530" s="219"/>
      <c r="T530" s="221"/>
    </row>
    <row r="531" spans="1:20" ht="12.75">
      <c r="A531" s="367">
        <f t="shared" si="49"/>
        <v>510</v>
      </c>
      <c r="B531" s="368"/>
      <c r="C531" s="368"/>
      <c r="D531" s="379" t="s">
        <v>80</v>
      </c>
      <c r="E531" s="66" t="s">
        <v>146</v>
      </c>
      <c r="F531" s="375"/>
      <c r="G531" s="79">
        <f t="shared" si="48"/>
        <v>0</v>
      </c>
      <c r="H531" s="77">
        <v>0</v>
      </c>
      <c r="I531" s="77">
        <v>0</v>
      </c>
      <c r="J531" s="464"/>
      <c r="K531" s="77"/>
      <c r="L531" s="218"/>
      <c r="M531" s="21"/>
      <c r="N531" s="123"/>
      <c r="O531" s="123"/>
      <c r="P531" s="123"/>
      <c r="Q531" s="232"/>
      <c r="R531" s="232"/>
      <c r="S531" s="219"/>
      <c r="T531" s="221"/>
    </row>
    <row r="532" spans="1:20" ht="12.75">
      <c r="A532" s="367">
        <f t="shared" si="49"/>
        <v>511</v>
      </c>
      <c r="B532" s="368"/>
      <c r="C532" s="368"/>
      <c r="D532" s="379" t="s">
        <v>84</v>
      </c>
      <c r="E532" s="66" t="s">
        <v>148</v>
      </c>
      <c r="F532" s="375"/>
      <c r="G532" s="79">
        <f t="shared" si="48"/>
        <v>0</v>
      </c>
      <c r="H532" s="77">
        <v>0</v>
      </c>
      <c r="I532" s="77">
        <v>0</v>
      </c>
      <c r="J532" s="464"/>
      <c r="K532" s="77"/>
      <c r="L532" s="218"/>
      <c r="M532" s="21"/>
      <c r="N532" s="123"/>
      <c r="O532" s="123"/>
      <c r="P532" s="123"/>
      <c r="Q532" s="232"/>
      <c r="R532" s="232"/>
      <c r="S532" s="219"/>
      <c r="T532" s="221"/>
    </row>
    <row r="533" spans="1:20" ht="12.75">
      <c r="A533" s="367">
        <f t="shared" si="49"/>
        <v>512</v>
      </c>
      <c r="B533" s="368"/>
      <c r="C533" s="368"/>
      <c r="D533" s="379" t="s">
        <v>108</v>
      </c>
      <c r="E533" s="66" t="s">
        <v>150</v>
      </c>
      <c r="F533" s="375"/>
      <c r="G533" s="79">
        <f t="shared" si="48"/>
        <v>0</v>
      </c>
      <c r="H533" s="77">
        <v>0</v>
      </c>
      <c r="I533" s="77">
        <v>0</v>
      </c>
      <c r="J533" s="464"/>
      <c r="K533" s="77"/>
      <c r="L533" s="218"/>
      <c r="N533" s="123"/>
      <c r="O533" s="123"/>
      <c r="P533" s="123"/>
      <c r="Q533" s="232"/>
      <c r="R533" s="232"/>
      <c r="S533" s="219"/>
      <c r="T533" s="221"/>
    </row>
    <row r="534" spans="1:20" ht="12.75">
      <c r="A534" s="367">
        <f t="shared" si="49"/>
        <v>513</v>
      </c>
      <c r="B534" s="368"/>
      <c r="C534" s="368"/>
      <c r="D534" s="379" t="s">
        <v>41</v>
      </c>
      <c r="E534" s="66" t="s">
        <v>152</v>
      </c>
      <c r="F534" s="375"/>
      <c r="G534" s="79">
        <f t="shared" si="48"/>
        <v>0</v>
      </c>
      <c r="H534" s="77">
        <v>0</v>
      </c>
      <c r="I534" s="77">
        <v>0</v>
      </c>
      <c r="J534" s="464"/>
      <c r="K534" s="77"/>
      <c r="L534" s="218"/>
      <c r="N534" s="123"/>
      <c r="O534" s="123"/>
      <c r="P534" s="123"/>
      <c r="Q534" s="232"/>
      <c r="R534" s="232"/>
      <c r="S534" s="219"/>
      <c r="T534" s="221"/>
    </row>
    <row r="535" spans="1:20" ht="12.75">
      <c r="A535" s="367">
        <f t="shared" si="49"/>
        <v>514</v>
      </c>
      <c r="B535" s="368"/>
      <c r="C535" s="368"/>
      <c r="D535" s="379" t="s">
        <v>154</v>
      </c>
      <c r="E535" s="66" t="s">
        <v>155</v>
      </c>
      <c r="F535" s="375"/>
      <c r="G535" s="79">
        <f t="shared" si="48"/>
        <v>0</v>
      </c>
      <c r="H535" s="77">
        <v>0</v>
      </c>
      <c r="I535" s="77">
        <v>0</v>
      </c>
      <c r="J535" s="464"/>
      <c r="K535" s="77"/>
      <c r="L535" s="218"/>
      <c r="N535" s="123"/>
      <c r="O535" s="123"/>
      <c r="P535" s="123"/>
      <c r="Q535" s="232"/>
      <c r="R535" s="232"/>
      <c r="S535" s="219"/>
      <c r="T535" s="221"/>
    </row>
    <row r="536" spans="1:20" ht="12.75">
      <c r="A536" s="367">
        <f t="shared" si="49"/>
        <v>515</v>
      </c>
      <c r="B536" s="368"/>
      <c r="C536" s="368"/>
      <c r="D536" s="379" t="s">
        <v>157</v>
      </c>
      <c r="E536" s="66" t="s">
        <v>158</v>
      </c>
      <c r="F536" s="375"/>
      <c r="G536" s="79">
        <f t="shared" si="48"/>
        <v>0</v>
      </c>
      <c r="H536" s="77">
        <v>0</v>
      </c>
      <c r="I536" s="77">
        <v>0</v>
      </c>
      <c r="J536" s="464"/>
      <c r="K536" s="77"/>
      <c r="L536" s="218"/>
      <c r="N536" s="123"/>
      <c r="O536" s="123"/>
      <c r="P536" s="123"/>
      <c r="Q536" s="232"/>
      <c r="R536" s="232"/>
      <c r="S536" s="219"/>
      <c r="T536" s="221"/>
    </row>
    <row r="537" spans="1:20" ht="12.75">
      <c r="A537" s="367">
        <f t="shared" si="49"/>
        <v>516</v>
      </c>
      <c r="B537" s="368"/>
      <c r="C537" s="368"/>
      <c r="D537" s="379" t="s">
        <v>65</v>
      </c>
      <c r="E537" s="66" t="s">
        <v>159</v>
      </c>
      <c r="F537" s="375"/>
      <c r="G537" s="79">
        <f t="shared" si="48"/>
        <v>0</v>
      </c>
      <c r="H537" s="77">
        <v>0</v>
      </c>
      <c r="I537" s="77">
        <v>0</v>
      </c>
      <c r="J537" s="464"/>
      <c r="K537" s="77"/>
      <c r="L537" s="218"/>
      <c r="N537" s="123"/>
      <c r="O537" s="123"/>
      <c r="P537" s="123"/>
      <c r="Q537" s="232"/>
      <c r="R537" s="232"/>
      <c r="S537" s="219"/>
      <c r="T537" s="221"/>
    </row>
    <row r="538" spans="1:20" ht="12.75">
      <c r="A538" s="367">
        <f t="shared" si="49"/>
        <v>517</v>
      </c>
      <c r="B538" s="368"/>
      <c r="C538" s="368"/>
      <c r="D538" s="379" t="s">
        <v>160</v>
      </c>
      <c r="E538" s="66" t="s">
        <v>264</v>
      </c>
      <c r="F538" s="375"/>
      <c r="G538" s="79">
        <f t="shared" si="48"/>
        <v>0</v>
      </c>
      <c r="H538" s="77">
        <v>0</v>
      </c>
      <c r="I538" s="77">
        <v>0</v>
      </c>
      <c r="J538" s="464"/>
      <c r="K538" s="77"/>
      <c r="L538" s="218"/>
      <c r="N538" s="123"/>
      <c r="O538" s="123"/>
      <c r="P538" s="123"/>
      <c r="Q538" s="232"/>
      <c r="R538" s="232"/>
      <c r="S538" s="219"/>
      <c r="T538" s="221"/>
    </row>
    <row r="539" spans="1:20" ht="12.75">
      <c r="A539" s="367">
        <f t="shared" si="49"/>
        <v>518</v>
      </c>
      <c r="B539" s="368"/>
      <c r="C539" s="368"/>
      <c r="D539" s="369">
        <v>10</v>
      </c>
      <c r="E539" s="66" t="s">
        <v>162</v>
      </c>
      <c r="F539" s="375"/>
      <c r="G539" s="79">
        <f t="shared" si="48"/>
        <v>0</v>
      </c>
      <c r="H539" s="77">
        <v>0</v>
      </c>
      <c r="I539" s="77">
        <v>0</v>
      </c>
      <c r="J539" s="464"/>
      <c r="K539" s="77"/>
      <c r="L539" s="218"/>
      <c r="M539" s="21"/>
      <c r="N539" s="123"/>
      <c r="O539" s="123"/>
      <c r="P539" s="123"/>
      <c r="Q539" s="232"/>
      <c r="R539" s="232"/>
      <c r="S539" s="219"/>
      <c r="T539" s="130"/>
    </row>
    <row r="540" spans="1:20" ht="12.75">
      <c r="A540" s="367">
        <f t="shared" si="49"/>
        <v>519</v>
      </c>
      <c r="B540" s="368"/>
      <c r="C540" s="368"/>
      <c r="D540" s="369">
        <v>11</v>
      </c>
      <c r="E540" s="66" t="s">
        <v>163</v>
      </c>
      <c r="F540" s="375"/>
      <c r="G540" s="79">
        <f t="shared" si="48"/>
        <v>0</v>
      </c>
      <c r="H540" s="77">
        <v>0</v>
      </c>
      <c r="I540" s="77">
        <v>0</v>
      </c>
      <c r="J540" s="464"/>
      <c r="K540" s="77"/>
      <c r="L540" s="218"/>
      <c r="N540" s="123"/>
      <c r="O540" s="123"/>
      <c r="P540" s="123"/>
      <c r="Q540" s="232"/>
      <c r="R540" s="232"/>
      <c r="S540" s="219"/>
      <c r="T540" s="130"/>
    </row>
    <row r="541" spans="1:20" ht="12.75">
      <c r="A541" s="367">
        <f t="shared" si="49"/>
        <v>520</v>
      </c>
      <c r="B541" s="368"/>
      <c r="C541" s="368"/>
      <c r="D541" s="369">
        <v>12</v>
      </c>
      <c r="E541" s="66" t="s">
        <v>164</v>
      </c>
      <c r="F541" s="375"/>
      <c r="G541" s="79">
        <f t="shared" si="48"/>
        <v>0</v>
      </c>
      <c r="H541" s="77">
        <v>0</v>
      </c>
      <c r="I541" s="77">
        <v>0</v>
      </c>
      <c r="J541" s="464"/>
      <c r="K541" s="77"/>
      <c r="L541" s="218"/>
      <c r="N541" s="123"/>
      <c r="O541" s="123"/>
      <c r="P541" s="123"/>
      <c r="Q541" s="232"/>
      <c r="R541" s="232"/>
      <c r="S541" s="219"/>
      <c r="T541" s="130"/>
    </row>
    <row r="542" spans="1:20" ht="12.75">
      <c r="A542" s="367">
        <f t="shared" si="49"/>
        <v>521</v>
      </c>
      <c r="B542" s="368"/>
      <c r="C542" s="368"/>
      <c r="D542" s="369">
        <v>13</v>
      </c>
      <c r="E542" s="66" t="s">
        <v>165</v>
      </c>
      <c r="F542" s="375"/>
      <c r="G542" s="79">
        <f t="shared" si="48"/>
        <v>0</v>
      </c>
      <c r="H542" s="77">
        <v>0</v>
      </c>
      <c r="I542" s="77">
        <v>0</v>
      </c>
      <c r="J542" s="464"/>
      <c r="K542" s="77"/>
      <c r="L542" s="218"/>
      <c r="N542" s="123"/>
      <c r="O542" s="123"/>
      <c r="P542" s="123"/>
      <c r="Q542" s="232"/>
      <c r="R542" s="232"/>
      <c r="S542" s="219"/>
      <c r="T542" s="130"/>
    </row>
    <row r="543" spans="1:20" ht="12.75">
      <c r="A543" s="367">
        <f t="shared" si="49"/>
        <v>522</v>
      </c>
      <c r="B543" s="368"/>
      <c r="C543" s="368"/>
      <c r="D543" s="369">
        <v>14</v>
      </c>
      <c r="E543" s="66" t="s">
        <v>166</v>
      </c>
      <c r="F543" s="375"/>
      <c r="G543" s="79">
        <f t="shared" si="48"/>
        <v>0</v>
      </c>
      <c r="H543" s="77">
        <v>0</v>
      </c>
      <c r="I543" s="77">
        <v>0</v>
      </c>
      <c r="J543" s="464"/>
      <c r="K543" s="77"/>
      <c r="L543" s="218"/>
      <c r="N543" s="123"/>
      <c r="O543" s="123"/>
      <c r="P543" s="123"/>
      <c r="Q543" s="232"/>
      <c r="R543" s="232"/>
      <c r="S543" s="219"/>
      <c r="T543" s="130"/>
    </row>
    <row r="544" spans="1:20" ht="12.75">
      <c r="A544" s="367">
        <f aca="true" t="shared" si="51" ref="A544:A606">A543+1</f>
        <v>523</v>
      </c>
      <c r="B544" s="368"/>
      <c r="C544" s="368"/>
      <c r="D544" s="369">
        <v>15</v>
      </c>
      <c r="E544" s="66" t="s">
        <v>167</v>
      </c>
      <c r="F544" s="375"/>
      <c r="G544" s="79">
        <f aca="true" t="shared" si="52" ref="G544:G607">H544+I544+J544+K544</f>
        <v>0</v>
      </c>
      <c r="H544" s="77">
        <v>0</v>
      </c>
      <c r="I544" s="77">
        <v>0</v>
      </c>
      <c r="J544" s="464"/>
      <c r="K544" s="77"/>
      <c r="L544" s="218"/>
      <c r="N544" s="123"/>
      <c r="O544" s="123"/>
      <c r="P544" s="123"/>
      <c r="Q544" s="232"/>
      <c r="R544" s="232"/>
      <c r="S544" s="219"/>
      <c r="T544" s="130"/>
    </row>
    <row r="545" spans="1:20" ht="12.75">
      <c r="A545" s="367">
        <f t="shared" si="51"/>
        <v>524</v>
      </c>
      <c r="B545" s="368"/>
      <c r="C545" s="368"/>
      <c r="D545" s="369">
        <v>16</v>
      </c>
      <c r="E545" s="66" t="s">
        <v>168</v>
      </c>
      <c r="F545" s="375"/>
      <c r="G545" s="79">
        <f t="shared" si="52"/>
        <v>0</v>
      </c>
      <c r="H545" s="77">
        <v>0</v>
      </c>
      <c r="I545" s="77">
        <v>0</v>
      </c>
      <c r="J545" s="464"/>
      <c r="K545" s="77"/>
      <c r="L545" s="218"/>
      <c r="N545" s="123"/>
      <c r="O545" s="123"/>
      <c r="P545" s="123"/>
      <c r="Q545" s="232"/>
      <c r="R545" s="232"/>
      <c r="S545" s="219"/>
      <c r="T545" s="130"/>
    </row>
    <row r="546" spans="1:20" ht="12.75">
      <c r="A546" s="367">
        <f t="shared" si="51"/>
        <v>525</v>
      </c>
      <c r="B546" s="368"/>
      <c r="C546" s="368"/>
      <c r="D546" s="369">
        <v>30</v>
      </c>
      <c r="E546" s="66" t="s">
        <v>169</v>
      </c>
      <c r="F546" s="375"/>
      <c r="G546" s="79">
        <f t="shared" si="52"/>
        <v>0</v>
      </c>
      <c r="H546" s="77">
        <v>0</v>
      </c>
      <c r="I546" s="77">
        <v>0</v>
      </c>
      <c r="J546" s="464"/>
      <c r="K546" s="77"/>
      <c r="L546" s="218"/>
      <c r="N546" s="123"/>
      <c r="O546" s="123"/>
      <c r="P546" s="123"/>
      <c r="Q546" s="232"/>
      <c r="R546" s="232"/>
      <c r="S546" s="219"/>
      <c r="T546" s="130"/>
    </row>
    <row r="547" spans="1:20" ht="12.75">
      <c r="A547" s="367">
        <f t="shared" si="51"/>
        <v>526</v>
      </c>
      <c r="B547" s="368"/>
      <c r="C547" s="377" t="s">
        <v>80</v>
      </c>
      <c r="D547" s="369"/>
      <c r="E547" s="85" t="s">
        <v>170</v>
      </c>
      <c r="F547" s="49">
        <f>+F548+F549+F550+F551+F552+F553</f>
        <v>0</v>
      </c>
      <c r="G547" s="50">
        <f t="shared" si="52"/>
        <v>0</v>
      </c>
      <c r="H547" s="166">
        <f>+H548+H549+H550+H551+H552+H553</f>
        <v>0</v>
      </c>
      <c r="I547" s="166">
        <f>+I548+I549+I550+I551+I552+I553</f>
        <v>0</v>
      </c>
      <c r="J547" s="461">
        <f>+J548+J549+J550+J551+J552+J553</f>
        <v>0</v>
      </c>
      <c r="K547" s="166">
        <f>+K548+K549+K550+K551+K552+K553</f>
        <v>0</v>
      </c>
      <c r="L547" s="218"/>
      <c r="N547" s="123"/>
      <c r="O547" s="123"/>
      <c r="P547" s="123"/>
      <c r="Q547" s="232"/>
      <c r="R547" s="232"/>
      <c r="S547" s="220"/>
      <c r="T547" s="130"/>
    </row>
    <row r="548" spans="1:20" ht="12.75">
      <c r="A548" s="367">
        <f t="shared" si="51"/>
        <v>527</v>
      </c>
      <c r="B548" s="368"/>
      <c r="C548" s="368"/>
      <c r="D548" s="379" t="s">
        <v>47</v>
      </c>
      <c r="E548" s="66" t="s">
        <v>265</v>
      </c>
      <c r="F548" s="375"/>
      <c r="G548" s="79">
        <f t="shared" si="52"/>
        <v>0</v>
      </c>
      <c r="H548" s="77">
        <v>0</v>
      </c>
      <c r="I548" s="77">
        <v>0</v>
      </c>
      <c r="J548" s="464"/>
      <c r="K548" s="77"/>
      <c r="L548" s="218"/>
      <c r="N548" s="123"/>
      <c r="O548" s="123"/>
      <c r="P548" s="123"/>
      <c r="Q548" s="232"/>
      <c r="R548" s="232"/>
      <c r="S548" s="219"/>
      <c r="T548" s="221"/>
    </row>
    <row r="549" spans="1:20" ht="12.75">
      <c r="A549" s="367">
        <f t="shared" si="51"/>
        <v>528</v>
      </c>
      <c r="B549" s="368"/>
      <c r="C549" s="368"/>
      <c r="D549" s="379" t="s">
        <v>80</v>
      </c>
      <c r="E549" s="66" t="s">
        <v>266</v>
      </c>
      <c r="F549" s="375"/>
      <c r="G549" s="79">
        <f t="shared" si="52"/>
        <v>0</v>
      </c>
      <c r="H549" s="77">
        <v>0</v>
      </c>
      <c r="I549" s="77">
        <v>0</v>
      </c>
      <c r="J549" s="464"/>
      <c r="K549" s="77"/>
      <c r="L549" s="218"/>
      <c r="N549" s="123"/>
      <c r="O549" s="123"/>
      <c r="P549" s="123"/>
      <c r="Q549" s="232"/>
      <c r="R549" s="232"/>
      <c r="S549" s="219"/>
      <c r="T549" s="221"/>
    </row>
    <row r="550" spans="1:20" ht="12.75">
      <c r="A550" s="367">
        <f t="shared" si="51"/>
        <v>529</v>
      </c>
      <c r="B550" s="368"/>
      <c r="C550" s="368"/>
      <c r="D550" s="379" t="s">
        <v>84</v>
      </c>
      <c r="E550" s="66" t="s">
        <v>173</v>
      </c>
      <c r="F550" s="375"/>
      <c r="G550" s="79">
        <f t="shared" si="52"/>
        <v>0</v>
      </c>
      <c r="H550" s="77">
        <v>0</v>
      </c>
      <c r="I550" s="77">
        <v>0</v>
      </c>
      <c r="J550" s="464"/>
      <c r="K550" s="77"/>
      <c r="L550" s="218"/>
      <c r="N550" s="123"/>
      <c r="O550" s="123"/>
      <c r="P550" s="123"/>
      <c r="Q550" s="232"/>
      <c r="R550" s="232"/>
      <c r="S550" s="219"/>
      <c r="T550" s="221"/>
    </row>
    <row r="551" spans="1:20" ht="12.75">
      <c r="A551" s="367">
        <f t="shared" si="51"/>
        <v>530</v>
      </c>
      <c r="B551" s="368"/>
      <c r="C551" s="368"/>
      <c r="D551" s="379" t="s">
        <v>108</v>
      </c>
      <c r="E551" s="66" t="s">
        <v>267</v>
      </c>
      <c r="F551" s="375"/>
      <c r="G551" s="79">
        <f t="shared" si="52"/>
        <v>0</v>
      </c>
      <c r="H551" s="77">
        <v>0</v>
      </c>
      <c r="I551" s="77">
        <v>0</v>
      </c>
      <c r="J551" s="464"/>
      <c r="K551" s="77"/>
      <c r="L551" s="218"/>
      <c r="N551" s="123"/>
      <c r="O551" s="123"/>
      <c r="P551" s="123"/>
      <c r="Q551" s="232"/>
      <c r="R551" s="232"/>
      <c r="S551" s="219"/>
      <c r="T551" s="221"/>
    </row>
    <row r="552" spans="1:20" ht="12.75">
      <c r="A552" s="367">
        <f t="shared" si="51"/>
        <v>531</v>
      </c>
      <c r="B552" s="368"/>
      <c r="C552" s="368"/>
      <c r="D552" s="379" t="s">
        <v>41</v>
      </c>
      <c r="E552" s="66" t="s">
        <v>268</v>
      </c>
      <c r="F552" s="375"/>
      <c r="G552" s="79">
        <f t="shared" si="52"/>
        <v>0</v>
      </c>
      <c r="H552" s="77">
        <v>0</v>
      </c>
      <c r="I552" s="77">
        <v>0</v>
      </c>
      <c r="J552" s="464"/>
      <c r="K552" s="77"/>
      <c r="L552" s="218"/>
      <c r="N552" s="123"/>
      <c r="O552" s="123"/>
      <c r="P552" s="123"/>
      <c r="Q552" s="232"/>
      <c r="R552" s="232"/>
      <c r="S552" s="219"/>
      <c r="T552" s="221"/>
    </row>
    <row r="553" spans="1:20" ht="12.75">
      <c r="A553" s="367">
        <f t="shared" si="51"/>
        <v>532</v>
      </c>
      <c r="B553" s="368"/>
      <c r="C553" s="368"/>
      <c r="D553" s="369">
        <v>30</v>
      </c>
      <c r="E553" s="66" t="s">
        <v>176</v>
      </c>
      <c r="F553" s="375"/>
      <c r="G553" s="79">
        <f t="shared" si="52"/>
        <v>0</v>
      </c>
      <c r="H553" s="77">
        <v>0</v>
      </c>
      <c r="I553" s="77">
        <v>0</v>
      </c>
      <c r="J553" s="464"/>
      <c r="K553" s="77"/>
      <c r="L553" s="218"/>
      <c r="N553" s="123"/>
      <c r="O553" s="123"/>
      <c r="P553" s="123"/>
      <c r="Q553" s="232"/>
      <c r="R553" s="232"/>
      <c r="S553" s="219"/>
      <c r="T553" s="130"/>
    </row>
    <row r="554" spans="1:20" ht="12.75">
      <c r="A554" s="367">
        <f t="shared" si="51"/>
        <v>533</v>
      </c>
      <c r="B554" s="368"/>
      <c r="C554" s="377" t="s">
        <v>84</v>
      </c>
      <c r="D554" s="369"/>
      <c r="E554" s="85" t="s">
        <v>177</v>
      </c>
      <c r="F554" s="49">
        <f>+F555+F556+F557+F558+F559+F560+F561</f>
        <v>0</v>
      </c>
      <c r="G554" s="50">
        <f t="shared" si="52"/>
        <v>0</v>
      </c>
      <c r="H554" s="166">
        <f>+H555+H556+H557+H558+H559+H560+H561</f>
        <v>0</v>
      </c>
      <c r="I554" s="166">
        <f>+I555+I556+I557+I558+I559+I560+I561</f>
        <v>0</v>
      </c>
      <c r="J554" s="461">
        <f>+J555+J556+J557+J558+J559+J560+J561</f>
        <v>0</v>
      </c>
      <c r="K554" s="166">
        <f>+K555+K556+K557+K558+K559+K560+K561</f>
        <v>0</v>
      </c>
      <c r="L554" s="218"/>
      <c r="N554" s="123"/>
      <c r="O554" s="123"/>
      <c r="P554" s="123"/>
      <c r="Q554" s="232"/>
      <c r="R554" s="232"/>
      <c r="S554" s="220"/>
      <c r="T554" s="130"/>
    </row>
    <row r="555" spans="1:20" ht="12.75">
      <c r="A555" s="367">
        <f t="shared" si="51"/>
        <v>534</v>
      </c>
      <c r="B555" s="368"/>
      <c r="C555" s="368"/>
      <c r="D555" s="379" t="s">
        <v>47</v>
      </c>
      <c r="E555" s="66" t="s">
        <v>178</v>
      </c>
      <c r="F555" s="375"/>
      <c r="G555" s="79">
        <f t="shared" si="52"/>
        <v>0</v>
      </c>
      <c r="H555" s="77"/>
      <c r="I555" s="77"/>
      <c r="J555" s="464"/>
      <c r="K555" s="77"/>
      <c r="L555" s="218"/>
      <c r="N555" s="123"/>
      <c r="O555" s="123"/>
      <c r="P555" s="123"/>
      <c r="Q555" s="232"/>
      <c r="R555" s="232"/>
      <c r="S555" s="219"/>
      <c r="T555" s="221"/>
    </row>
    <row r="556" spans="1:20" ht="12.75">
      <c r="A556" s="367">
        <f t="shared" si="51"/>
        <v>535</v>
      </c>
      <c r="B556" s="368"/>
      <c r="C556" s="368"/>
      <c r="D556" s="379" t="s">
        <v>80</v>
      </c>
      <c r="E556" s="66" t="s">
        <v>179</v>
      </c>
      <c r="F556" s="375"/>
      <c r="G556" s="79">
        <f t="shared" si="52"/>
        <v>0</v>
      </c>
      <c r="H556" s="77"/>
      <c r="I556" s="77"/>
      <c r="J556" s="464"/>
      <c r="K556" s="77"/>
      <c r="L556" s="218"/>
      <c r="N556" s="123"/>
      <c r="O556" s="123"/>
      <c r="P556" s="123"/>
      <c r="Q556" s="232"/>
      <c r="R556" s="232"/>
      <c r="S556" s="219"/>
      <c r="T556" s="221"/>
    </row>
    <row r="557" spans="1:20" ht="12.75">
      <c r="A557" s="367">
        <f t="shared" si="51"/>
        <v>536</v>
      </c>
      <c r="B557" s="368"/>
      <c r="C557" s="368"/>
      <c r="D557" s="379" t="s">
        <v>84</v>
      </c>
      <c r="E557" s="66" t="s">
        <v>180</v>
      </c>
      <c r="F557" s="375"/>
      <c r="G557" s="79">
        <f t="shared" si="52"/>
        <v>0</v>
      </c>
      <c r="H557" s="77"/>
      <c r="I557" s="77"/>
      <c r="J557" s="464"/>
      <c r="K557" s="77"/>
      <c r="L557" s="218"/>
      <c r="N557" s="123"/>
      <c r="O557" s="123"/>
      <c r="P557" s="123"/>
      <c r="Q557" s="232"/>
      <c r="R557" s="232"/>
      <c r="S557" s="219"/>
      <c r="T557" s="221"/>
    </row>
    <row r="558" spans="1:20" ht="12.75">
      <c r="A558" s="367">
        <f t="shared" si="51"/>
        <v>537</v>
      </c>
      <c r="B558" s="368"/>
      <c r="C558" s="368"/>
      <c r="D558" s="379" t="s">
        <v>108</v>
      </c>
      <c r="E558" s="66" t="s">
        <v>269</v>
      </c>
      <c r="F558" s="375"/>
      <c r="G558" s="79">
        <f t="shared" si="52"/>
        <v>0</v>
      </c>
      <c r="H558" s="77"/>
      <c r="I558" s="77"/>
      <c r="J558" s="464"/>
      <c r="K558" s="77"/>
      <c r="L558" s="218"/>
      <c r="N558" s="123"/>
      <c r="O558" s="123"/>
      <c r="P558" s="123"/>
      <c r="Q558" s="232"/>
      <c r="R558" s="232"/>
      <c r="S558" s="219"/>
      <c r="T558" s="221"/>
    </row>
    <row r="559" spans="1:20" ht="12.75">
      <c r="A559" s="367">
        <f t="shared" si="51"/>
        <v>538</v>
      </c>
      <c r="B559" s="368"/>
      <c r="C559" s="368"/>
      <c r="D559" s="379" t="s">
        <v>41</v>
      </c>
      <c r="E559" s="66" t="s">
        <v>182</v>
      </c>
      <c r="F559" s="375"/>
      <c r="G559" s="79">
        <f t="shared" si="52"/>
        <v>0</v>
      </c>
      <c r="H559" s="77"/>
      <c r="I559" s="77"/>
      <c r="J559" s="464"/>
      <c r="K559" s="77"/>
      <c r="L559" s="218"/>
      <c r="N559" s="123"/>
      <c r="O559" s="123"/>
      <c r="P559" s="123"/>
      <c r="Q559" s="232"/>
      <c r="R559" s="232"/>
      <c r="S559" s="219"/>
      <c r="T559" s="221"/>
    </row>
    <row r="560" spans="1:20" ht="12.75">
      <c r="A560" s="367">
        <f t="shared" si="51"/>
        <v>539</v>
      </c>
      <c r="B560" s="368"/>
      <c r="C560" s="368"/>
      <c r="D560" s="379" t="s">
        <v>154</v>
      </c>
      <c r="E560" s="66" t="s">
        <v>183</v>
      </c>
      <c r="F560" s="375"/>
      <c r="G560" s="79">
        <f t="shared" si="52"/>
        <v>0</v>
      </c>
      <c r="H560" s="77"/>
      <c r="I560" s="77"/>
      <c r="J560" s="464"/>
      <c r="K560" s="77"/>
      <c r="L560" s="218"/>
      <c r="M560" s="167"/>
      <c r="N560" s="123"/>
      <c r="O560" s="123"/>
      <c r="P560" s="123"/>
      <c r="Q560" s="232"/>
      <c r="R560" s="232"/>
      <c r="S560" s="219"/>
      <c r="T560" s="221"/>
    </row>
    <row r="561" spans="1:20" ht="12.75">
      <c r="A561" s="367">
        <f t="shared" si="51"/>
        <v>540</v>
      </c>
      <c r="B561" s="368"/>
      <c r="C561" s="368"/>
      <c r="D561" s="379" t="s">
        <v>157</v>
      </c>
      <c r="E561" s="66" t="s">
        <v>184</v>
      </c>
      <c r="F561" s="375"/>
      <c r="G561" s="79">
        <f t="shared" si="52"/>
        <v>0</v>
      </c>
      <c r="H561" s="77">
        <v>0</v>
      </c>
      <c r="I561" s="77">
        <v>0</v>
      </c>
      <c r="J561" s="464"/>
      <c r="K561" s="77"/>
      <c r="L561" s="218"/>
      <c r="N561" s="123"/>
      <c r="O561" s="123"/>
      <c r="P561" s="123"/>
      <c r="Q561" s="232"/>
      <c r="R561" s="232"/>
      <c r="S561" s="219"/>
      <c r="T561" s="221"/>
    </row>
    <row r="562" spans="1:20" ht="12.75">
      <c r="A562" s="367">
        <f t="shared" si="51"/>
        <v>541</v>
      </c>
      <c r="B562" s="368"/>
      <c r="C562" s="368">
        <v>20</v>
      </c>
      <c r="D562" s="369"/>
      <c r="E562" s="85" t="s">
        <v>298</v>
      </c>
      <c r="F562" s="49">
        <f>+F563+F574+F575+F578+F583+F587+F590+F591+F592+F593+F594+F595+F596+F598</f>
        <v>0</v>
      </c>
      <c r="G562" s="50">
        <f t="shared" si="52"/>
        <v>3285</v>
      </c>
      <c r="H562" s="166">
        <f>+H563+H574+H575+H578+H583+H587+H590+H591+H592+H593+H594+H595+H596+H598</f>
        <v>1120</v>
      </c>
      <c r="I562" s="166">
        <f>+I563+I574+I575+I578+I583+I587+I590+I591+I592+I593+I594+I595+I596+I598</f>
        <v>561</v>
      </c>
      <c r="J562" s="461">
        <f>+J563+J574+J575+J578+J583+J587+J590+J591+J592+J593+J594+J595+J596+J598</f>
        <v>738</v>
      </c>
      <c r="K562" s="166">
        <f>+K563+K574+K575+K578+K583+K587+K590+K591+K592+K593+K594+K595+K596+K598</f>
        <v>866</v>
      </c>
      <c r="L562" s="218"/>
      <c r="N562" s="123"/>
      <c r="O562" s="214"/>
      <c r="P562" s="214"/>
      <c r="Q562" s="216"/>
      <c r="R562" s="216"/>
      <c r="S562" s="219"/>
      <c r="T562" s="130"/>
    </row>
    <row r="563" spans="1:20" ht="12.75">
      <c r="A563" s="367">
        <f t="shared" si="51"/>
        <v>542</v>
      </c>
      <c r="B563" s="368"/>
      <c r="C563" s="377" t="s">
        <v>47</v>
      </c>
      <c r="D563" s="369"/>
      <c r="E563" s="85" t="s">
        <v>130</v>
      </c>
      <c r="F563" s="49">
        <f>+F564+F565+F566+F567+F568+F569+F570+F571+F572+F573</f>
        <v>0</v>
      </c>
      <c r="G563" s="50">
        <f t="shared" si="52"/>
        <v>738.8299999999999</v>
      </c>
      <c r="H563" s="166">
        <f>+H564+H565+H566+H567+H568+H569+H570+H571+H572+H573</f>
        <v>0</v>
      </c>
      <c r="I563" s="166">
        <f>+I564+I565+I566+I567+I568+I569+I570+I571+I572+I573</f>
        <v>76</v>
      </c>
      <c r="J563" s="461">
        <f>+J564+J565+J566+J567+J568+J569+J570+J571+J572+J573</f>
        <v>261</v>
      </c>
      <c r="K563" s="166">
        <f>+K564+K565+K566+K567+K568+K569+K570+K571+K572+K573</f>
        <v>401.83</v>
      </c>
      <c r="L563" s="218"/>
      <c r="M563" s="167"/>
      <c r="N563" s="123"/>
      <c r="O563" s="123"/>
      <c r="P563" s="123"/>
      <c r="Q563" s="232"/>
      <c r="R563" s="232"/>
      <c r="S563" s="220"/>
      <c r="T563" s="130"/>
    </row>
    <row r="564" spans="1:20" ht="12.75">
      <c r="A564" s="367">
        <f t="shared" si="51"/>
        <v>543</v>
      </c>
      <c r="B564" s="368"/>
      <c r="C564" s="368"/>
      <c r="D564" s="379" t="s">
        <v>47</v>
      </c>
      <c r="E564" s="66" t="s">
        <v>186</v>
      </c>
      <c r="F564" s="375"/>
      <c r="G564" s="79">
        <f t="shared" si="52"/>
        <v>11.37</v>
      </c>
      <c r="H564" s="77"/>
      <c r="I564" s="77"/>
      <c r="J564" s="464"/>
      <c r="K564" s="77">
        <v>11.37</v>
      </c>
      <c r="L564" s="218">
        <v>11.37</v>
      </c>
      <c r="M564" s="167">
        <f>K564+L564</f>
        <v>22.74</v>
      </c>
      <c r="N564" s="217"/>
      <c r="O564" s="123"/>
      <c r="P564" s="123"/>
      <c r="Q564" s="232"/>
      <c r="R564" s="232"/>
      <c r="S564" s="219"/>
      <c r="T564" s="221"/>
    </row>
    <row r="565" spans="1:20" ht="12.75">
      <c r="A565" s="367">
        <f t="shared" si="51"/>
        <v>544</v>
      </c>
      <c r="B565" s="368"/>
      <c r="C565" s="368"/>
      <c r="D565" s="379" t="s">
        <v>80</v>
      </c>
      <c r="E565" s="66" t="s">
        <v>187</v>
      </c>
      <c r="F565" s="375"/>
      <c r="G565" s="79">
        <f t="shared" si="52"/>
        <v>0</v>
      </c>
      <c r="H565" s="77"/>
      <c r="I565" s="77"/>
      <c r="J565" s="464"/>
      <c r="K565" s="77">
        <v>0</v>
      </c>
      <c r="L565" s="218">
        <v>0</v>
      </c>
      <c r="M565" s="167">
        <f aca="true" t="shared" si="53" ref="M565:M590">K565+L565</f>
        <v>0</v>
      </c>
      <c r="N565" s="217"/>
      <c r="O565" s="123"/>
      <c r="P565" s="123"/>
      <c r="Q565" s="232"/>
      <c r="R565" s="232"/>
      <c r="S565" s="219"/>
      <c r="T565" s="221"/>
    </row>
    <row r="566" spans="1:20" ht="12.75">
      <c r="A566" s="367">
        <f t="shared" si="51"/>
        <v>545</v>
      </c>
      <c r="B566" s="368"/>
      <c r="C566" s="368"/>
      <c r="D566" s="379" t="s">
        <v>84</v>
      </c>
      <c r="E566" s="66" t="s">
        <v>188</v>
      </c>
      <c r="F566" s="375"/>
      <c r="G566" s="79">
        <f t="shared" si="52"/>
        <v>0</v>
      </c>
      <c r="H566" s="77"/>
      <c r="I566" s="77"/>
      <c r="J566" s="464"/>
      <c r="K566" s="77">
        <v>0</v>
      </c>
      <c r="L566" s="218">
        <v>0</v>
      </c>
      <c r="M566" s="167">
        <f t="shared" si="53"/>
        <v>0</v>
      </c>
      <c r="N566" s="217"/>
      <c r="O566" s="123"/>
      <c r="P566" s="123"/>
      <c r="Q566" s="232"/>
      <c r="R566" s="232"/>
      <c r="S566" s="219"/>
      <c r="T566" s="221"/>
    </row>
    <row r="567" spans="1:20" ht="12.75">
      <c r="A567" s="367">
        <f t="shared" si="51"/>
        <v>546</v>
      </c>
      <c r="B567" s="368"/>
      <c r="C567" s="368"/>
      <c r="D567" s="379" t="s">
        <v>108</v>
      </c>
      <c r="E567" s="66" t="s">
        <v>189</v>
      </c>
      <c r="F567" s="375"/>
      <c r="G567" s="79">
        <f t="shared" si="52"/>
        <v>0</v>
      </c>
      <c r="H567" s="77"/>
      <c r="I567" s="77"/>
      <c r="J567" s="464"/>
      <c r="K567" s="77">
        <v>0</v>
      </c>
      <c r="L567" s="218">
        <v>0</v>
      </c>
      <c r="M567" s="167">
        <f t="shared" si="53"/>
        <v>0</v>
      </c>
      <c r="N567" s="217"/>
      <c r="O567" s="123"/>
      <c r="P567" s="123"/>
      <c r="Q567" s="232"/>
      <c r="R567" s="232"/>
      <c r="S567" s="219"/>
      <c r="T567" s="221"/>
    </row>
    <row r="568" spans="1:20" ht="12.75">
      <c r="A568" s="367">
        <f t="shared" si="51"/>
        <v>547</v>
      </c>
      <c r="B568" s="368"/>
      <c r="C568" s="368"/>
      <c r="D568" s="379" t="s">
        <v>41</v>
      </c>
      <c r="E568" s="66" t="s">
        <v>190</v>
      </c>
      <c r="F568" s="375"/>
      <c r="G568" s="79">
        <f t="shared" si="52"/>
        <v>0</v>
      </c>
      <c r="H568" s="77"/>
      <c r="I568" s="77"/>
      <c r="J568" s="464"/>
      <c r="K568" s="77">
        <v>0</v>
      </c>
      <c r="L568" s="218">
        <v>0</v>
      </c>
      <c r="M568" s="167">
        <f t="shared" si="53"/>
        <v>0</v>
      </c>
      <c r="N568" s="217"/>
      <c r="O568" s="123"/>
      <c r="P568" s="123"/>
      <c r="Q568" s="232"/>
      <c r="R568" s="232"/>
      <c r="S568" s="219"/>
      <c r="T568" s="221"/>
    </row>
    <row r="569" spans="1:20" ht="12.75">
      <c r="A569" s="367">
        <f t="shared" si="51"/>
        <v>548</v>
      </c>
      <c r="B569" s="368"/>
      <c r="C569" s="368"/>
      <c r="D569" s="379" t="s">
        <v>154</v>
      </c>
      <c r="E569" s="66" t="s">
        <v>191</v>
      </c>
      <c r="F569" s="375"/>
      <c r="G569" s="79">
        <f t="shared" si="52"/>
        <v>99.46</v>
      </c>
      <c r="H569" s="77"/>
      <c r="I569" s="77"/>
      <c r="J569" s="464">
        <v>9</v>
      </c>
      <c r="K569" s="77">
        <v>90.46</v>
      </c>
      <c r="L569" s="218">
        <v>90.46</v>
      </c>
      <c r="M569" s="167">
        <f t="shared" si="53"/>
        <v>180.92</v>
      </c>
      <c r="N569" s="217"/>
      <c r="O569" s="123"/>
      <c r="P569" s="123"/>
      <c r="Q569" s="232"/>
      <c r="R569" s="232"/>
      <c r="S569" s="219"/>
      <c r="T569" s="221"/>
    </row>
    <row r="570" spans="1:20" ht="12.75">
      <c r="A570" s="367">
        <f t="shared" si="51"/>
        <v>549</v>
      </c>
      <c r="B570" s="368"/>
      <c r="C570" s="368"/>
      <c r="D570" s="379" t="s">
        <v>157</v>
      </c>
      <c r="E570" s="66" t="s">
        <v>192</v>
      </c>
      <c r="F570" s="375"/>
      <c r="G570" s="79">
        <f t="shared" si="52"/>
        <v>0</v>
      </c>
      <c r="H570" s="77"/>
      <c r="I570" s="77"/>
      <c r="J570" s="464"/>
      <c r="K570" s="77">
        <v>0</v>
      </c>
      <c r="L570" s="218">
        <v>0</v>
      </c>
      <c r="M570" s="167">
        <f t="shared" si="53"/>
        <v>0</v>
      </c>
      <c r="N570" s="217"/>
      <c r="O570" s="123"/>
      <c r="P570" s="123"/>
      <c r="Q570" s="232"/>
      <c r="R570" s="232"/>
      <c r="S570" s="219"/>
      <c r="T570" s="221"/>
    </row>
    <row r="571" spans="1:20" ht="12.75">
      <c r="A571" s="367">
        <f t="shared" si="51"/>
        <v>550</v>
      </c>
      <c r="B571" s="368"/>
      <c r="C571" s="368"/>
      <c r="D571" s="379" t="s">
        <v>65</v>
      </c>
      <c r="E571" s="66" t="s">
        <v>193</v>
      </c>
      <c r="F571" s="375"/>
      <c r="G571" s="79">
        <f t="shared" si="52"/>
        <v>0</v>
      </c>
      <c r="H571" s="77"/>
      <c r="I571" s="77"/>
      <c r="J571" s="464"/>
      <c r="K571" s="77">
        <v>0</v>
      </c>
      <c r="L571" s="218">
        <v>0</v>
      </c>
      <c r="M571" s="167">
        <f t="shared" si="53"/>
        <v>0</v>
      </c>
      <c r="N571" s="217"/>
      <c r="O571" s="123"/>
      <c r="P571" s="123"/>
      <c r="Q571" s="232"/>
      <c r="R571" s="232"/>
      <c r="S571" s="219"/>
      <c r="T571" s="221"/>
    </row>
    <row r="572" spans="1:20" ht="12.75">
      <c r="A572" s="367">
        <f t="shared" si="51"/>
        <v>551</v>
      </c>
      <c r="B572" s="368"/>
      <c r="C572" s="368"/>
      <c r="D572" s="379" t="s">
        <v>160</v>
      </c>
      <c r="E572" s="66" t="s">
        <v>194</v>
      </c>
      <c r="F572" s="375"/>
      <c r="G572" s="79">
        <f t="shared" si="52"/>
        <v>0</v>
      </c>
      <c r="H572" s="77"/>
      <c r="I572" s="77"/>
      <c r="J572" s="464"/>
      <c r="K572" s="77">
        <v>0</v>
      </c>
      <c r="L572" s="218">
        <v>0</v>
      </c>
      <c r="M572" s="167">
        <f t="shared" si="53"/>
        <v>0</v>
      </c>
      <c r="N572" s="217"/>
      <c r="O572" s="123"/>
      <c r="P572" s="123"/>
      <c r="Q572" s="232"/>
      <c r="R572" s="232"/>
      <c r="S572" s="219"/>
      <c r="T572" s="221"/>
    </row>
    <row r="573" spans="1:20" ht="12.75">
      <c r="A573" s="367">
        <f t="shared" si="51"/>
        <v>552</v>
      </c>
      <c r="B573" s="368"/>
      <c r="C573" s="368"/>
      <c r="D573" s="369">
        <v>30</v>
      </c>
      <c r="E573" s="66" t="s">
        <v>271</v>
      </c>
      <c r="F573" s="375"/>
      <c r="G573" s="79">
        <f t="shared" si="52"/>
        <v>628</v>
      </c>
      <c r="H573" s="77">
        <v>0</v>
      </c>
      <c r="I573" s="77">
        <v>76</v>
      </c>
      <c r="J573" s="464">
        <v>252</v>
      </c>
      <c r="K573" s="77">
        <v>300</v>
      </c>
      <c r="L573" s="218">
        <v>-357.19</v>
      </c>
      <c r="M573" s="167">
        <f t="shared" si="53"/>
        <v>-57.19</v>
      </c>
      <c r="N573" s="217"/>
      <c r="O573" s="123"/>
      <c r="P573" s="123"/>
      <c r="Q573" s="232"/>
      <c r="R573" s="232"/>
      <c r="S573" s="219"/>
      <c r="T573" s="130"/>
    </row>
    <row r="574" spans="1:20" ht="12.75">
      <c r="A574" s="367">
        <f t="shared" si="51"/>
        <v>553</v>
      </c>
      <c r="B574" s="368"/>
      <c r="C574" s="377" t="s">
        <v>80</v>
      </c>
      <c r="D574" s="86"/>
      <c r="E574" s="59" t="s">
        <v>196</v>
      </c>
      <c r="F574" s="375"/>
      <c r="G574" s="49">
        <f t="shared" si="52"/>
        <v>0</v>
      </c>
      <c r="H574" s="467"/>
      <c r="I574" s="467">
        <v>0</v>
      </c>
      <c r="J574" s="468"/>
      <c r="K574" s="467">
        <v>0</v>
      </c>
      <c r="L574" s="218">
        <v>0</v>
      </c>
      <c r="M574" s="167">
        <f t="shared" si="53"/>
        <v>0</v>
      </c>
      <c r="N574" s="217"/>
      <c r="O574" s="123"/>
      <c r="P574" s="123"/>
      <c r="Q574" s="232"/>
      <c r="R574" s="232"/>
      <c r="S574" s="220"/>
      <c r="T574" s="99"/>
    </row>
    <row r="575" spans="1:20" ht="12.75">
      <c r="A575" s="367">
        <f t="shared" si="51"/>
        <v>554</v>
      </c>
      <c r="B575" s="368"/>
      <c r="C575" s="377" t="s">
        <v>84</v>
      </c>
      <c r="D575" s="86"/>
      <c r="E575" s="59" t="s">
        <v>197</v>
      </c>
      <c r="F575" s="49">
        <f>+F576+F577</f>
        <v>0</v>
      </c>
      <c r="G575" s="50">
        <f t="shared" si="52"/>
        <v>0</v>
      </c>
      <c r="H575" s="166">
        <f>+H576+H577</f>
        <v>0</v>
      </c>
      <c r="I575" s="166">
        <f>+I576+I577</f>
        <v>0</v>
      </c>
      <c r="J575" s="461">
        <f>+J576+J577</f>
        <v>0</v>
      </c>
      <c r="K575" s="166">
        <v>0</v>
      </c>
      <c r="L575" s="218">
        <v>0</v>
      </c>
      <c r="M575" s="167">
        <f t="shared" si="53"/>
        <v>0</v>
      </c>
      <c r="N575" s="217"/>
      <c r="O575" s="123"/>
      <c r="P575" s="123"/>
      <c r="Q575" s="232"/>
      <c r="R575" s="232"/>
      <c r="S575" s="220"/>
      <c r="T575" s="99"/>
    </row>
    <row r="576" spans="1:20" ht="12.75">
      <c r="A576" s="367">
        <f t="shared" si="51"/>
        <v>555</v>
      </c>
      <c r="B576" s="368"/>
      <c r="C576" s="368"/>
      <c r="D576" s="379" t="s">
        <v>47</v>
      </c>
      <c r="E576" s="66" t="s">
        <v>198</v>
      </c>
      <c r="F576" s="375"/>
      <c r="G576" s="79">
        <f t="shared" si="52"/>
        <v>0</v>
      </c>
      <c r="H576" s="77"/>
      <c r="I576" s="77"/>
      <c r="J576" s="464"/>
      <c r="K576" s="77"/>
      <c r="L576" s="218">
        <v>0</v>
      </c>
      <c r="M576" s="167">
        <f t="shared" si="53"/>
        <v>0</v>
      </c>
      <c r="N576" s="217"/>
      <c r="O576" s="123"/>
      <c r="P576" s="123"/>
      <c r="Q576" s="232"/>
      <c r="R576" s="232"/>
      <c r="S576" s="219"/>
      <c r="T576" s="221"/>
    </row>
    <row r="577" spans="1:20" ht="12.75">
      <c r="A577" s="367">
        <f t="shared" si="51"/>
        <v>556</v>
      </c>
      <c r="B577" s="368"/>
      <c r="C577" s="368"/>
      <c r="D577" s="379" t="s">
        <v>80</v>
      </c>
      <c r="E577" s="66" t="s">
        <v>199</v>
      </c>
      <c r="F577" s="375"/>
      <c r="G577" s="79">
        <f t="shared" si="52"/>
        <v>0</v>
      </c>
      <c r="H577" s="77"/>
      <c r="I577" s="77"/>
      <c r="J577" s="464"/>
      <c r="K577" s="77"/>
      <c r="L577" s="218">
        <v>0</v>
      </c>
      <c r="M577" s="167">
        <f t="shared" si="53"/>
        <v>0</v>
      </c>
      <c r="N577" s="217"/>
      <c r="O577" s="123"/>
      <c r="P577" s="123"/>
      <c r="Q577" s="232"/>
      <c r="R577" s="232"/>
      <c r="S577" s="219"/>
      <c r="T577" s="221"/>
    </row>
    <row r="578" spans="1:20" ht="12.75">
      <c r="A578" s="367">
        <f t="shared" si="51"/>
        <v>557</v>
      </c>
      <c r="B578" s="368"/>
      <c r="C578" s="377" t="s">
        <v>108</v>
      </c>
      <c r="D578" s="369"/>
      <c r="E578" s="59" t="s">
        <v>200</v>
      </c>
      <c r="F578" s="49">
        <f>+F579+F580+F581+F582</f>
        <v>0</v>
      </c>
      <c r="G578" s="50">
        <f t="shared" si="52"/>
        <v>2401.76</v>
      </c>
      <c r="H578" s="166">
        <f>+H579+H580+H581+H582</f>
        <v>1120</v>
      </c>
      <c r="I578" s="166">
        <f>+I579+I580+I581+I582</f>
        <v>482</v>
      </c>
      <c r="J578" s="461">
        <f>+J579+J580+J581+J582</f>
        <v>464</v>
      </c>
      <c r="K578" s="166">
        <f>+K579+K580+K581+K582</f>
        <v>335.76000000000005</v>
      </c>
      <c r="L578" s="218">
        <v>-2951.39</v>
      </c>
      <c r="M578" s="167">
        <f t="shared" si="53"/>
        <v>-2615.6299999999997</v>
      </c>
      <c r="N578" s="217"/>
      <c r="O578" s="123"/>
      <c r="P578" s="123"/>
      <c r="Q578" s="232"/>
      <c r="R578" s="232"/>
      <c r="S578" s="220"/>
      <c r="T578" s="130"/>
    </row>
    <row r="579" spans="1:20" ht="12.75">
      <c r="A579" s="367">
        <f t="shared" si="51"/>
        <v>558</v>
      </c>
      <c r="B579" s="368"/>
      <c r="C579" s="368"/>
      <c r="D579" s="379" t="s">
        <v>47</v>
      </c>
      <c r="E579" s="66" t="s">
        <v>201</v>
      </c>
      <c r="F579" s="375"/>
      <c r="G579" s="79">
        <f t="shared" si="52"/>
        <v>880.04</v>
      </c>
      <c r="H579" s="77">
        <v>500</v>
      </c>
      <c r="I579" s="77">
        <v>182</v>
      </c>
      <c r="J579" s="464">
        <v>178</v>
      </c>
      <c r="K579" s="77">
        <v>20.04</v>
      </c>
      <c r="L579" s="218">
        <v>-1035.96</v>
      </c>
      <c r="M579" s="167">
        <f t="shared" si="53"/>
        <v>-1015.9200000000001</v>
      </c>
      <c r="N579" s="217"/>
      <c r="O579" s="123"/>
      <c r="P579" s="123"/>
      <c r="Q579" s="232"/>
      <c r="R579" s="232"/>
      <c r="S579" s="219"/>
      <c r="T579" s="221"/>
    </row>
    <row r="580" spans="1:20" ht="12.75">
      <c r="A580" s="367">
        <f t="shared" si="51"/>
        <v>559</v>
      </c>
      <c r="B580" s="368"/>
      <c r="C580" s="368"/>
      <c r="D580" s="379" t="s">
        <v>80</v>
      </c>
      <c r="E580" s="66" t="s">
        <v>202</v>
      </c>
      <c r="F580" s="375"/>
      <c r="G580" s="79">
        <f t="shared" si="52"/>
        <v>779.25</v>
      </c>
      <c r="H580" s="77">
        <v>410</v>
      </c>
      <c r="I580" s="77">
        <v>200</v>
      </c>
      <c r="J580" s="464">
        <v>166</v>
      </c>
      <c r="K580" s="77">
        <f>-296.75+300</f>
        <v>3.25</v>
      </c>
      <c r="L580" s="218">
        <v>-496.75</v>
      </c>
      <c r="M580" s="167">
        <f t="shared" si="53"/>
        <v>-493.5</v>
      </c>
      <c r="N580" s="217"/>
      <c r="O580" s="123"/>
      <c r="P580" s="123"/>
      <c r="Q580" s="232"/>
      <c r="R580" s="232"/>
      <c r="S580" s="219"/>
      <c r="T580" s="221"/>
    </row>
    <row r="581" spans="1:20" ht="12.75">
      <c r="A581" s="367">
        <f t="shared" si="51"/>
        <v>560</v>
      </c>
      <c r="B581" s="368"/>
      <c r="C581" s="368"/>
      <c r="D581" s="379" t="s">
        <v>84</v>
      </c>
      <c r="E581" s="66" t="s">
        <v>203</v>
      </c>
      <c r="F581" s="375"/>
      <c r="G581" s="79">
        <f t="shared" si="52"/>
        <v>742.47</v>
      </c>
      <c r="H581" s="77">
        <v>210</v>
      </c>
      <c r="I581" s="77">
        <v>100</v>
      </c>
      <c r="J581" s="464">
        <v>120</v>
      </c>
      <c r="K581" s="77">
        <v>312.47</v>
      </c>
      <c r="L581" s="218">
        <v>212.47</v>
      </c>
      <c r="M581" s="167">
        <f t="shared" si="53"/>
        <v>524.94</v>
      </c>
      <c r="N581" s="217"/>
      <c r="O581" s="123"/>
      <c r="P581" s="123"/>
      <c r="Q581" s="232"/>
      <c r="R581" s="232"/>
      <c r="S581" s="219"/>
      <c r="T581" s="221"/>
    </row>
    <row r="582" spans="1:20" ht="12.75">
      <c r="A582" s="367">
        <f t="shared" si="51"/>
        <v>561</v>
      </c>
      <c r="B582" s="368"/>
      <c r="C582" s="368"/>
      <c r="D582" s="379" t="s">
        <v>108</v>
      </c>
      <c r="E582" s="66" t="s">
        <v>204</v>
      </c>
      <c r="F582" s="375"/>
      <c r="G582" s="79">
        <f t="shared" si="52"/>
        <v>0</v>
      </c>
      <c r="H582" s="77"/>
      <c r="I582" s="77"/>
      <c r="J582" s="464"/>
      <c r="K582" s="77">
        <v>0</v>
      </c>
      <c r="L582" s="218">
        <v>0</v>
      </c>
      <c r="M582" s="167">
        <f t="shared" si="53"/>
        <v>0</v>
      </c>
      <c r="N582" s="217"/>
      <c r="O582" s="123"/>
      <c r="P582" s="123"/>
      <c r="Q582" s="232"/>
      <c r="R582" s="232"/>
      <c r="S582" s="219"/>
      <c r="T582" s="221"/>
    </row>
    <row r="583" spans="1:20" ht="12.75">
      <c r="A583" s="367">
        <f t="shared" si="51"/>
        <v>562</v>
      </c>
      <c r="B583" s="368"/>
      <c r="C583" s="377" t="s">
        <v>41</v>
      </c>
      <c r="D583" s="369"/>
      <c r="E583" s="85" t="s">
        <v>205</v>
      </c>
      <c r="F583" s="49">
        <f>+F584+F585+F586</f>
        <v>0</v>
      </c>
      <c r="G583" s="50">
        <f t="shared" si="52"/>
        <v>46.14</v>
      </c>
      <c r="H583" s="166">
        <f>+H584+H585+H586</f>
        <v>0</v>
      </c>
      <c r="I583" s="166">
        <f>+I584+I585+I586</f>
        <v>0</v>
      </c>
      <c r="J583" s="461">
        <f>+J584+J585+J586</f>
        <v>13</v>
      </c>
      <c r="K583" s="166">
        <f>+K584+K585+K586</f>
        <v>33.14</v>
      </c>
      <c r="L583" s="218">
        <v>-24.53</v>
      </c>
      <c r="M583" s="167">
        <f t="shared" si="53"/>
        <v>8.61</v>
      </c>
      <c r="N583" s="217"/>
      <c r="O583" s="123"/>
      <c r="P583" s="123"/>
      <c r="Q583" s="232"/>
      <c r="R583" s="232"/>
      <c r="S583" s="220"/>
      <c r="T583" s="130"/>
    </row>
    <row r="584" spans="1:20" ht="12.75">
      <c r="A584" s="367">
        <f t="shared" si="51"/>
        <v>563</v>
      </c>
      <c r="B584" s="368"/>
      <c r="C584" s="368"/>
      <c r="D584" s="379" t="s">
        <v>47</v>
      </c>
      <c r="E584" s="66" t="s">
        <v>206</v>
      </c>
      <c r="F584" s="375"/>
      <c r="G584" s="79">
        <f t="shared" si="52"/>
        <v>0</v>
      </c>
      <c r="H584" s="77"/>
      <c r="I584" s="77"/>
      <c r="J584" s="464"/>
      <c r="K584" s="77">
        <v>0</v>
      </c>
      <c r="L584" s="218">
        <v>0</v>
      </c>
      <c r="M584" s="167">
        <f t="shared" si="53"/>
        <v>0</v>
      </c>
      <c r="N584" s="217"/>
      <c r="O584" s="123"/>
      <c r="P584" s="123"/>
      <c r="Q584" s="232"/>
      <c r="R584" s="232"/>
      <c r="S584" s="219"/>
      <c r="T584" s="221"/>
    </row>
    <row r="585" spans="1:20" ht="12.75">
      <c r="A585" s="367">
        <f t="shared" si="51"/>
        <v>564</v>
      </c>
      <c r="B585" s="368"/>
      <c r="C585" s="368"/>
      <c r="D585" s="379" t="s">
        <v>84</v>
      </c>
      <c r="E585" s="66" t="s">
        <v>207</v>
      </c>
      <c r="F585" s="375"/>
      <c r="G585" s="79">
        <f t="shared" si="52"/>
        <v>3.31</v>
      </c>
      <c r="H585" s="77"/>
      <c r="I585" s="77"/>
      <c r="J585" s="464"/>
      <c r="K585" s="77">
        <v>3.31</v>
      </c>
      <c r="L585" s="218">
        <v>3.31</v>
      </c>
      <c r="M585" s="167">
        <f t="shared" si="53"/>
        <v>6.62</v>
      </c>
      <c r="N585" s="217"/>
      <c r="O585" s="123"/>
      <c r="P585" s="123"/>
      <c r="Q585" s="232"/>
      <c r="R585" s="232"/>
      <c r="S585" s="219"/>
      <c r="T585" s="221"/>
    </row>
    <row r="586" spans="1:20" ht="12.75">
      <c r="A586" s="367">
        <f t="shared" si="51"/>
        <v>565</v>
      </c>
      <c r="B586" s="368"/>
      <c r="C586" s="368"/>
      <c r="D586" s="369">
        <v>30</v>
      </c>
      <c r="E586" s="66" t="s">
        <v>208</v>
      </c>
      <c r="F586" s="375"/>
      <c r="G586" s="79">
        <f t="shared" si="52"/>
        <v>42.83</v>
      </c>
      <c r="H586" s="77"/>
      <c r="I586" s="77"/>
      <c r="J586" s="464">
        <v>13</v>
      </c>
      <c r="K586" s="77">
        <v>29.83</v>
      </c>
      <c r="L586" s="218">
        <v>29.83</v>
      </c>
      <c r="M586" s="167">
        <f t="shared" si="53"/>
        <v>59.66</v>
      </c>
      <c r="N586" s="217"/>
      <c r="O586" s="123"/>
      <c r="P586" s="123"/>
      <c r="Q586" s="232"/>
      <c r="R586" s="232"/>
      <c r="S586" s="219"/>
      <c r="T586" s="130"/>
    </row>
    <row r="587" spans="1:20" ht="12.75">
      <c r="A587" s="367">
        <f t="shared" si="51"/>
        <v>566</v>
      </c>
      <c r="B587" s="368"/>
      <c r="C587" s="377" t="s">
        <v>154</v>
      </c>
      <c r="D587" s="369"/>
      <c r="E587" s="59" t="s">
        <v>209</v>
      </c>
      <c r="F587" s="49">
        <f>+F588+F589</f>
        <v>0</v>
      </c>
      <c r="G587" s="50">
        <f t="shared" si="52"/>
        <v>3</v>
      </c>
      <c r="H587" s="166">
        <f>+H588+H589</f>
        <v>0</v>
      </c>
      <c r="I587" s="166">
        <f>+I588+I589</f>
        <v>3</v>
      </c>
      <c r="J587" s="461">
        <f>+J588+J589</f>
        <v>0</v>
      </c>
      <c r="K587" s="166">
        <f>+K588+K589</f>
        <v>0</v>
      </c>
      <c r="L587" s="218">
        <v>-5.48</v>
      </c>
      <c r="M587" s="167">
        <f t="shared" si="53"/>
        <v>-5.48</v>
      </c>
      <c r="N587" s="217"/>
      <c r="O587" s="123"/>
      <c r="P587" s="123"/>
      <c r="Q587" s="232"/>
      <c r="R587" s="232"/>
      <c r="S587" s="220"/>
      <c r="T587" s="130"/>
    </row>
    <row r="588" spans="1:20" ht="12.75">
      <c r="A588" s="367">
        <f t="shared" si="51"/>
        <v>567</v>
      </c>
      <c r="B588" s="368"/>
      <c r="C588" s="368"/>
      <c r="D588" s="379" t="s">
        <v>47</v>
      </c>
      <c r="E588" s="78" t="s">
        <v>272</v>
      </c>
      <c r="F588" s="375"/>
      <c r="G588" s="79">
        <f t="shared" si="52"/>
        <v>3</v>
      </c>
      <c r="H588" s="77"/>
      <c r="I588" s="77">
        <v>3</v>
      </c>
      <c r="J588" s="464"/>
      <c r="K588" s="77">
        <v>0</v>
      </c>
      <c r="L588" s="218">
        <v>-3</v>
      </c>
      <c r="M588" s="167">
        <f t="shared" si="53"/>
        <v>-3</v>
      </c>
      <c r="N588" s="217"/>
      <c r="O588" s="123"/>
      <c r="P588" s="123"/>
      <c r="Q588" s="232"/>
      <c r="R588" s="232"/>
      <c r="S588" s="219"/>
      <c r="T588" s="221"/>
    </row>
    <row r="589" spans="1:20" ht="12.75">
      <c r="A589" s="367">
        <f t="shared" si="51"/>
        <v>568</v>
      </c>
      <c r="B589" s="368"/>
      <c r="C589" s="368"/>
      <c r="D589" s="379" t="s">
        <v>80</v>
      </c>
      <c r="E589" s="66" t="s">
        <v>211</v>
      </c>
      <c r="F589" s="375"/>
      <c r="G589" s="79">
        <f t="shared" si="52"/>
        <v>0</v>
      </c>
      <c r="H589" s="77"/>
      <c r="I589" s="77"/>
      <c r="J589" s="464"/>
      <c r="K589" s="77">
        <v>0</v>
      </c>
      <c r="L589" s="218">
        <v>0</v>
      </c>
      <c r="M589" s="167">
        <f t="shared" si="53"/>
        <v>0</v>
      </c>
      <c r="N589" s="217"/>
      <c r="O589" s="123"/>
      <c r="P589" s="123"/>
      <c r="Q589" s="232"/>
      <c r="R589" s="232"/>
      <c r="S589" s="219"/>
      <c r="T589" s="221"/>
    </row>
    <row r="590" spans="1:20" ht="12.75">
      <c r="A590" s="367">
        <f t="shared" si="51"/>
        <v>569</v>
      </c>
      <c r="B590" s="368"/>
      <c r="C590" s="377" t="s">
        <v>160</v>
      </c>
      <c r="D590" s="369"/>
      <c r="E590" s="85" t="s">
        <v>212</v>
      </c>
      <c r="F590" s="375"/>
      <c r="G590" s="49">
        <f t="shared" si="52"/>
        <v>95.27</v>
      </c>
      <c r="H590" s="467"/>
      <c r="I590" s="467"/>
      <c r="J590" s="468"/>
      <c r="K590" s="470">
        <v>95.27</v>
      </c>
      <c r="L590" s="218">
        <v>95.27</v>
      </c>
      <c r="M590" s="167">
        <f t="shared" si="53"/>
        <v>190.54</v>
      </c>
      <c r="N590" s="217"/>
      <c r="O590" s="123"/>
      <c r="P590" s="123"/>
      <c r="Q590" s="232"/>
      <c r="R590" s="232"/>
      <c r="S590" s="220"/>
      <c r="T590" s="130"/>
    </row>
    <row r="591" spans="1:20" ht="12.75">
      <c r="A591" s="367">
        <f t="shared" si="51"/>
        <v>570</v>
      </c>
      <c r="B591" s="368"/>
      <c r="C591" s="368">
        <v>10</v>
      </c>
      <c r="D591" s="369"/>
      <c r="E591" s="85" t="s">
        <v>213</v>
      </c>
      <c r="F591" s="375"/>
      <c r="G591" s="79">
        <f t="shared" si="52"/>
        <v>0</v>
      </c>
      <c r="H591" s="467"/>
      <c r="I591" s="467"/>
      <c r="J591" s="468"/>
      <c r="K591" s="467"/>
      <c r="L591" s="218">
        <v>0</v>
      </c>
      <c r="N591" s="123"/>
      <c r="O591" s="123"/>
      <c r="P591" s="123"/>
      <c r="Q591" s="232"/>
      <c r="R591" s="232"/>
      <c r="S591" s="219"/>
      <c r="T591" s="130"/>
    </row>
    <row r="592" spans="1:20" ht="12.75">
      <c r="A592" s="367">
        <f t="shared" si="51"/>
        <v>571</v>
      </c>
      <c r="B592" s="368"/>
      <c r="C592" s="368">
        <v>11</v>
      </c>
      <c r="D592" s="369"/>
      <c r="E592" s="85" t="s">
        <v>273</v>
      </c>
      <c r="F592" s="375"/>
      <c r="G592" s="79">
        <f t="shared" si="52"/>
        <v>0</v>
      </c>
      <c r="H592" s="467"/>
      <c r="I592" s="467"/>
      <c r="J592" s="468"/>
      <c r="K592" s="467"/>
      <c r="L592" s="218"/>
      <c r="N592" s="123"/>
      <c r="O592" s="123"/>
      <c r="P592" s="123"/>
      <c r="Q592" s="232"/>
      <c r="R592" s="232"/>
      <c r="S592" s="219"/>
      <c r="T592" s="130"/>
    </row>
    <row r="593" spans="1:20" ht="12.75">
      <c r="A593" s="367">
        <f t="shared" si="51"/>
        <v>572</v>
      </c>
      <c r="B593" s="368"/>
      <c r="C593" s="368">
        <v>12</v>
      </c>
      <c r="D593" s="369"/>
      <c r="E593" s="85" t="s">
        <v>274</v>
      </c>
      <c r="F593" s="375"/>
      <c r="G593" s="79">
        <f t="shared" si="52"/>
        <v>0</v>
      </c>
      <c r="H593" s="467"/>
      <c r="I593" s="467"/>
      <c r="J593" s="468"/>
      <c r="K593" s="467"/>
      <c r="L593" s="218"/>
      <c r="N593" s="123"/>
      <c r="O593" s="123"/>
      <c r="P593" s="123"/>
      <c r="Q593" s="232"/>
      <c r="R593" s="232"/>
      <c r="S593" s="219"/>
      <c r="T593" s="130"/>
    </row>
    <row r="594" spans="1:20" ht="12.75">
      <c r="A594" s="367">
        <f t="shared" si="51"/>
        <v>573</v>
      </c>
      <c r="B594" s="368"/>
      <c r="C594" s="368">
        <v>13</v>
      </c>
      <c r="D594" s="369"/>
      <c r="E594" s="85" t="s">
        <v>216</v>
      </c>
      <c r="F594" s="375"/>
      <c r="G594" s="79">
        <f t="shared" si="52"/>
        <v>0</v>
      </c>
      <c r="H594" s="467"/>
      <c r="I594" s="467"/>
      <c r="J594" s="468"/>
      <c r="K594" s="467"/>
      <c r="L594" s="218"/>
      <c r="N594" s="123"/>
      <c r="O594" s="123"/>
      <c r="P594" s="123"/>
      <c r="Q594" s="232"/>
      <c r="R594" s="232"/>
      <c r="S594" s="219"/>
      <c r="T594" s="130"/>
    </row>
    <row r="595" spans="1:20" ht="12.75">
      <c r="A595" s="367">
        <f t="shared" si="51"/>
        <v>574</v>
      </c>
      <c r="B595" s="368"/>
      <c r="C595" s="368">
        <v>14</v>
      </c>
      <c r="D595" s="369"/>
      <c r="E595" s="85" t="s">
        <v>217</v>
      </c>
      <c r="F595" s="375"/>
      <c r="G595" s="79">
        <f t="shared" si="52"/>
        <v>0</v>
      </c>
      <c r="H595" s="467"/>
      <c r="I595" s="467"/>
      <c r="J595" s="468"/>
      <c r="K595" s="467"/>
      <c r="L595" s="218"/>
      <c r="N595" s="123"/>
      <c r="O595" s="123"/>
      <c r="P595" s="123"/>
      <c r="Q595" s="232"/>
      <c r="R595" s="232"/>
      <c r="S595" s="219"/>
      <c r="T595" s="130"/>
    </row>
    <row r="596" spans="1:20" ht="12.75">
      <c r="A596" s="367">
        <f t="shared" si="51"/>
        <v>575</v>
      </c>
      <c r="B596" s="368"/>
      <c r="C596" s="368">
        <v>25</v>
      </c>
      <c r="D596" s="369"/>
      <c r="E596" s="85" t="s">
        <v>218</v>
      </c>
      <c r="F596" s="375"/>
      <c r="G596" s="79">
        <f t="shared" si="52"/>
        <v>0</v>
      </c>
      <c r="H596" s="467"/>
      <c r="I596" s="467"/>
      <c r="J596" s="468"/>
      <c r="K596" s="467"/>
      <c r="L596" s="218"/>
      <c r="N596" s="123"/>
      <c r="O596" s="123"/>
      <c r="P596" s="123"/>
      <c r="Q596" s="232"/>
      <c r="R596" s="232"/>
      <c r="S596" s="219"/>
      <c r="T596" s="130"/>
    </row>
    <row r="597" spans="1:20" ht="12.75">
      <c r="A597" s="367">
        <f t="shared" si="51"/>
        <v>576</v>
      </c>
      <c r="B597" s="368"/>
      <c r="C597" s="368">
        <v>27</v>
      </c>
      <c r="D597" s="369"/>
      <c r="E597" s="85" t="s">
        <v>219</v>
      </c>
      <c r="F597" s="375"/>
      <c r="G597" s="79">
        <f t="shared" si="52"/>
        <v>0</v>
      </c>
      <c r="H597" s="467"/>
      <c r="I597" s="467"/>
      <c r="J597" s="468"/>
      <c r="K597" s="467"/>
      <c r="L597" s="218"/>
      <c r="N597" s="123"/>
      <c r="O597" s="123"/>
      <c r="P597" s="123"/>
      <c r="Q597" s="232"/>
      <c r="R597" s="232"/>
      <c r="S597" s="219"/>
      <c r="T597" s="130"/>
    </row>
    <row r="598" spans="1:20" ht="12.75">
      <c r="A598" s="367">
        <f t="shared" si="51"/>
        <v>577</v>
      </c>
      <c r="B598" s="368"/>
      <c r="C598" s="368">
        <v>30</v>
      </c>
      <c r="D598" s="369"/>
      <c r="E598" s="85" t="s">
        <v>120</v>
      </c>
      <c r="F598" s="49">
        <f>+F599+F600+F601+F602+F603</f>
        <v>0</v>
      </c>
      <c r="G598" s="50">
        <f t="shared" si="52"/>
        <v>0</v>
      </c>
      <c r="H598" s="166">
        <f>+H599+H600+H601+H602+H603</f>
        <v>0</v>
      </c>
      <c r="I598" s="166">
        <f>+I599+I600+I601+I602+I603</f>
        <v>0</v>
      </c>
      <c r="J598" s="461">
        <f>+J599+J600+J601+J602+J603</f>
        <v>0</v>
      </c>
      <c r="K598" s="166">
        <f>+K599+K600+K601+K602+K603</f>
        <v>0</v>
      </c>
      <c r="L598" s="218"/>
      <c r="N598" s="123"/>
      <c r="O598" s="123"/>
      <c r="P598" s="123"/>
      <c r="Q598" s="232"/>
      <c r="R598" s="232"/>
      <c r="S598" s="219"/>
      <c r="T598" s="130"/>
    </row>
    <row r="599" spans="1:20" ht="12.75">
      <c r="A599" s="367">
        <f t="shared" si="51"/>
        <v>578</v>
      </c>
      <c r="B599" s="368"/>
      <c r="C599" s="368"/>
      <c r="D599" s="379" t="s">
        <v>47</v>
      </c>
      <c r="E599" s="66" t="s">
        <v>220</v>
      </c>
      <c r="F599" s="375"/>
      <c r="G599" s="79">
        <f t="shared" si="52"/>
        <v>0</v>
      </c>
      <c r="H599" s="77"/>
      <c r="I599" s="77"/>
      <c r="J599" s="464"/>
      <c r="K599" s="77"/>
      <c r="L599" s="218"/>
      <c r="N599" s="123"/>
      <c r="O599" s="123"/>
      <c r="P599" s="123"/>
      <c r="Q599" s="232"/>
      <c r="R599" s="232"/>
      <c r="S599" s="219"/>
      <c r="T599" s="221"/>
    </row>
    <row r="600" spans="1:20" ht="12.75">
      <c r="A600" s="367">
        <f t="shared" si="51"/>
        <v>579</v>
      </c>
      <c r="B600" s="368"/>
      <c r="C600" s="368"/>
      <c r="D600" s="379" t="s">
        <v>84</v>
      </c>
      <c r="E600" s="66" t="s">
        <v>221</v>
      </c>
      <c r="F600" s="375"/>
      <c r="G600" s="79">
        <f t="shared" si="52"/>
        <v>0</v>
      </c>
      <c r="H600" s="77"/>
      <c r="I600" s="77"/>
      <c r="J600" s="464"/>
      <c r="K600" s="77"/>
      <c r="L600" s="218"/>
      <c r="N600" s="123"/>
      <c r="O600" s="123"/>
      <c r="P600" s="123"/>
      <c r="Q600" s="232"/>
      <c r="R600" s="232"/>
      <c r="S600" s="219"/>
      <c r="T600" s="221"/>
    </row>
    <row r="601" spans="1:20" ht="12.75">
      <c r="A601" s="367">
        <f t="shared" si="51"/>
        <v>580</v>
      </c>
      <c r="B601" s="368"/>
      <c r="C601" s="368"/>
      <c r="D601" s="379" t="s">
        <v>108</v>
      </c>
      <c r="E601" s="66" t="s">
        <v>222</v>
      </c>
      <c r="F601" s="375"/>
      <c r="G601" s="79">
        <f t="shared" si="52"/>
        <v>0</v>
      </c>
      <c r="H601" s="77"/>
      <c r="I601" s="77"/>
      <c r="J601" s="464"/>
      <c r="K601" s="77"/>
      <c r="L601" s="218"/>
      <c r="N601" s="123"/>
      <c r="O601" s="123"/>
      <c r="P601" s="123"/>
      <c r="Q601" s="232"/>
      <c r="R601" s="232"/>
      <c r="S601" s="123"/>
      <c r="T601" s="123"/>
    </row>
    <row r="602" spans="1:20" ht="12.75">
      <c r="A602" s="367">
        <f t="shared" si="51"/>
        <v>581</v>
      </c>
      <c r="B602" s="368"/>
      <c r="C602" s="368"/>
      <c r="D602" s="379" t="s">
        <v>160</v>
      </c>
      <c r="E602" s="66" t="s">
        <v>223</v>
      </c>
      <c r="F602" s="375"/>
      <c r="G602" s="79">
        <f t="shared" si="52"/>
        <v>0</v>
      </c>
      <c r="H602" s="77"/>
      <c r="I602" s="77"/>
      <c r="J602" s="464"/>
      <c r="K602" s="77"/>
      <c r="L602" s="218"/>
      <c r="N602" s="123"/>
      <c r="O602" s="123"/>
      <c r="P602" s="123"/>
      <c r="Q602" s="232"/>
      <c r="R602" s="232"/>
      <c r="S602" s="123"/>
      <c r="T602" s="123"/>
    </row>
    <row r="603" spans="1:20" ht="12.75">
      <c r="A603" s="367">
        <f t="shared" si="51"/>
        <v>582</v>
      </c>
      <c r="B603" s="368"/>
      <c r="C603" s="368"/>
      <c r="D603" s="369">
        <v>30</v>
      </c>
      <c r="E603" s="66" t="s">
        <v>224</v>
      </c>
      <c r="F603" s="375"/>
      <c r="G603" s="79">
        <f t="shared" si="52"/>
        <v>0</v>
      </c>
      <c r="H603" s="77"/>
      <c r="I603" s="77"/>
      <c r="J603" s="464"/>
      <c r="K603" s="77"/>
      <c r="L603" s="218"/>
      <c r="N603" s="123"/>
      <c r="O603" s="123"/>
      <c r="P603" s="123"/>
      <c r="Q603" s="232"/>
      <c r="R603" s="232"/>
      <c r="S603" s="123"/>
      <c r="T603" s="123"/>
    </row>
    <row r="604" spans="1:20" ht="12.75">
      <c r="A604" s="367">
        <f t="shared" si="51"/>
        <v>583</v>
      </c>
      <c r="B604" s="395">
        <v>30</v>
      </c>
      <c r="C604" s="395"/>
      <c r="D604" s="396"/>
      <c r="E604" s="418" t="s">
        <v>225</v>
      </c>
      <c r="F604" s="49">
        <f aca="true" t="shared" si="54" ref="F604:K605">+F605</f>
        <v>0</v>
      </c>
      <c r="G604" s="79">
        <f t="shared" si="52"/>
        <v>0</v>
      </c>
      <c r="H604" s="49">
        <f>+H605</f>
        <v>0</v>
      </c>
      <c r="I604" s="49">
        <f>+I605</f>
        <v>0</v>
      </c>
      <c r="J604" s="209">
        <f t="shared" si="54"/>
        <v>0</v>
      </c>
      <c r="K604" s="49">
        <f t="shared" si="54"/>
        <v>0</v>
      </c>
      <c r="L604" s="218"/>
      <c r="N604" s="123"/>
      <c r="O604" s="123"/>
      <c r="P604" s="123"/>
      <c r="Q604" s="232"/>
      <c r="R604" s="232"/>
      <c r="S604" s="123"/>
      <c r="T604" s="123"/>
    </row>
    <row r="605" spans="1:20" ht="12.75">
      <c r="A605" s="367">
        <f t="shared" si="51"/>
        <v>584</v>
      </c>
      <c r="B605" s="395"/>
      <c r="C605" s="401" t="s">
        <v>84</v>
      </c>
      <c r="D605" s="396"/>
      <c r="E605" s="418" t="s">
        <v>226</v>
      </c>
      <c r="F605" s="49">
        <f t="shared" si="54"/>
        <v>0</v>
      </c>
      <c r="G605" s="79">
        <f t="shared" si="52"/>
        <v>0</v>
      </c>
      <c r="H605" s="49">
        <f t="shared" si="54"/>
        <v>0</v>
      </c>
      <c r="I605" s="49">
        <f t="shared" si="54"/>
        <v>0</v>
      </c>
      <c r="J605" s="209">
        <f t="shared" si="54"/>
        <v>0</v>
      </c>
      <c r="K605" s="49">
        <f t="shared" si="54"/>
        <v>0</v>
      </c>
      <c r="L605" s="218"/>
      <c r="N605" s="123"/>
      <c r="O605" s="123"/>
      <c r="P605" s="123"/>
      <c r="Q605" s="232"/>
      <c r="R605" s="232"/>
      <c r="S605" s="123"/>
      <c r="T605" s="123"/>
    </row>
    <row r="606" spans="1:20" ht="12.75">
      <c r="A606" s="367">
        <f t="shared" si="51"/>
        <v>585</v>
      </c>
      <c r="B606" s="395"/>
      <c r="C606" s="401"/>
      <c r="D606" s="402" t="s">
        <v>41</v>
      </c>
      <c r="E606" s="419" t="s">
        <v>227</v>
      </c>
      <c r="F606" s="375"/>
      <c r="G606" s="79">
        <f t="shared" si="52"/>
        <v>0</v>
      </c>
      <c r="H606" s="375"/>
      <c r="I606" s="375"/>
      <c r="J606" s="447"/>
      <c r="K606" s="375"/>
      <c r="L606" s="218"/>
      <c r="N606" s="123"/>
      <c r="O606" s="123"/>
      <c r="P606" s="123"/>
      <c r="Q606" s="232"/>
      <c r="R606" s="232"/>
      <c r="S606" s="123"/>
      <c r="T606" s="123"/>
    </row>
    <row r="607" spans="1:20" ht="12.75">
      <c r="A607" s="367">
        <f>A606+1</f>
        <v>586</v>
      </c>
      <c r="B607" s="395">
        <v>57</v>
      </c>
      <c r="C607" s="401"/>
      <c r="D607" s="402"/>
      <c r="E607" s="418" t="s">
        <v>230</v>
      </c>
      <c r="F607" s="109">
        <f aca="true" t="shared" si="55" ref="F607:K608">F608</f>
        <v>0</v>
      </c>
      <c r="G607" s="109">
        <f t="shared" si="52"/>
        <v>0</v>
      </c>
      <c r="H607" s="109">
        <f t="shared" si="55"/>
        <v>0</v>
      </c>
      <c r="I607" s="109">
        <f t="shared" si="55"/>
        <v>0</v>
      </c>
      <c r="J607" s="211">
        <f t="shared" si="55"/>
        <v>0</v>
      </c>
      <c r="K607" s="109">
        <f t="shared" si="55"/>
        <v>0</v>
      </c>
      <c r="L607" s="218"/>
      <c r="N607" s="123"/>
      <c r="O607" s="123"/>
      <c r="P607" s="123"/>
      <c r="Q607" s="232"/>
      <c r="R607" s="232"/>
      <c r="S607" s="123"/>
      <c r="T607" s="123"/>
    </row>
    <row r="608" spans="1:20" ht="12.75">
      <c r="A608" s="367">
        <f>A607+1</f>
        <v>587</v>
      </c>
      <c r="B608" s="395"/>
      <c r="C608" s="401" t="s">
        <v>47</v>
      </c>
      <c r="D608" s="402"/>
      <c r="E608" s="418" t="s">
        <v>231</v>
      </c>
      <c r="F608" s="109">
        <f t="shared" si="55"/>
        <v>0</v>
      </c>
      <c r="G608" s="109">
        <f aca="true" t="shared" si="56" ref="G608:G626">H608+I608+J608+K608</f>
        <v>0</v>
      </c>
      <c r="H608" s="109">
        <f t="shared" si="55"/>
        <v>0</v>
      </c>
      <c r="I608" s="109">
        <f t="shared" si="55"/>
        <v>0</v>
      </c>
      <c r="J608" s="211">
        <f t="shared" si="55"/>
        <v>0</v>
      </c>
      <c r="K608" s="109">
        <f t="shared" si="55"/>
        <v>0</v>
      </c>
      <c r="L608" s="218"/>
      <c r="N608" s="123"/>
      <c r="O608" s="123"/>
      <c r="P608" s="123"/>
      <c r="Q608" s="123"/>
      <c r="R608" s="123"/>
      <c r="S608" s="123"/>
      <c r="T608" s="123"/>
    </row>
    <row r="609" spans="1:20" ht="12.75">
      <c r="A609" s="367">
        <f aca="true" t="shared" si="57" ref="A609:A642">A608+1</f>
        <v>588</v>
      </c>
      <c r="B609" s="395"/>
      <c r="C609" s="401" t="s">
        <v>80</v>
      </c>
      <c r="D609" s="402"/>
      <c r="E609" s="419" t="s">
        <v>232</v>
      </c>
      <c r="F609" s="109">
        <f>F610+F611+F612+F613</f>
        <v>0</v>
      </c>
      <c r="G609" s="109">
        <f t="shared" si="56"/>
        <v>0</v>
      </c>
      <c r="H609" s="109">
        <f>H610+H611+H612+H613</f>
        <v>0</v>
      </c>
      <c r="I609" s="109">
        <f>I610+I611+I612+I613</f>
        <v>0</v>
      </c>
      <c r="J609" s="211">
        <f>J610+J611+J612+J613</f>
        <v>0</v>
      </c>
      <c r="K609" s="109">
        <f>K610+K611+K612+K613</f>
        <v>0</v>
      </c>
      <c r="L609" s="218"/>
      <c r="N609" s="123"/>
      <c r="O609" s="123"/>
      <c r="P609" s="123"/>
      <c r="Q609" s="123"/>
      <c r="R609" s="123"/>
      <c r="S609" s="123"/>
      <c r="T609" s="123"/>
    </row>
    <row r="610" spans="1:20" ht="12.75">
      <c r="A610" s="367">
        <f t="shared" si="57"/>
        <v>589</v>
      </c>
      <c r="B610" s="395"/>
      <c r="C610" s="401"/>
      <c r="D610" s="402" t="s">
        <v>47</v>
      </c>
      <c r="E610" s="419" t="s">
        <v>233</v>
      </c>
      <c r="F610" s="375"/>
      <c r="G610" s="109">
        <f t="shared" si="56"/>
        <v>0</v>
      </c>
      <c r="H610" s="375"/>
      <c r="I610" s="375"/>
      <c r="J610" s="447"/>
      <c r="K610" s="375"/>
      <c r="L610" s="218"/>
      <c r="N610" s="123"/>
      <c r="O610" s="123"/>
      <c r="P610" s="123"/>
      <c r="Q610" s="123"/>
      <c r="R610" s="123"/>
      <c r="S610" s="123"/>
      <c r="T610" s="123"/>
    </row>
    <row r="611" spans="1:20" ht="12.75">
      <c r="A611" s="367">
        <f t="shared" si="57"/>
        <v>590</v>
      </c>
      <c r="B611" s="395"/>
      <c r="C611" s="401"/>
      <c r="D611" s="402" t="s">
        <v>80</v>
      </c>
      <c r="E611" s="419" t="s">
        <v>234</v>
      </c>
      <c r="F611" s="375"/>
      <c r="G611" s="109">
        <f t="shared" si="56"/>
        <v>0</v>
      </c>
      <c r="H611" s="375"/>
      <c r="I611" s="375"/>
      <c r="J611" s="447"/>
      <c r="K611" s="375"/>
      <c r="L611" s="218"/>
      <c r="N611" s="123"/>
      <c r="O611" s="123"/>
      <c r="P611" s="123"/>
      <c r="Q611" s="123"/>
      <c r="R611" s="123"/>
      <c r="S611" s="123"/>
      <c r="T611" s="123"/>
    </row>
    <row r="612" spans="1:20" ht="12.75">
      <c r="A612" s="367">
        <f t="shared" si="57"/>
        <v>591</v>
      </c>
      <c r="B612" s="395"/>
      <c r="C612" s="401"/>
      <c r="D612" s="402" t="s">
        <v>84</v>
      </c>
      <c r="E612" s="419" t="s">
        <v>235</v>
      </c>
      <c r="F612" s="375"/>
      <c r="G612" s="109">
        <f t="shared" si="56"/>
        <v>0</v>
      </c>
      <c r="H612" s="375"/>
      <c r="I612" s="375"/>
      <c r="J612" s="447"/>
      <c r="K612" s="375"/>
      <c r="L612" s="218"/>
      <c r="N612" s="123"/>
      <c r="O612" s="123"/>
      <c r="P612" s="123"/>
      <c r="Q612" s="123"/>
      <c r="R612" s="123"/>
      <c r="S612" s="123"/>
      <c r="T612" s="123"/>
    </row>
    <row r="613" spans="1:20" ht="12.75">
      <c r="A613" s="367">
        <f t="shared" si="57"/>
        <v>592</v>
      </c>
      <c r="B613" s="395"/>
      <c r="C613" s="401"/>
      <c r="D613" s="402" t="s">
        <v>108</v>
      </c>
      <c r="E613" s="419" t="s">
        <v>236</v>
      </c>
      <c r="F613" s="375"/>
      <c r="G613" s="109">
        <f t="shared" si="56"/>
        <v>0</v>
      </c>
      <c r="H613" s="375"/>
      <c r="I613" s="375"/>
      <c r="J613" s="447"/>
      <c r="K613" s="375"/>
      <c r="L613" s="218"/>
      <c r="N613" s="123"/>
      <c r="O613" s="123"/>
      <c r="P613" s="123"/>
      <c r="Q613" s="123"/>
      <c r="R613" s="123"/>
      <c r="S613" s="123"/>
      <c r="T613" s="123"/>
    </row>
    <row r="614" spans="1:20" ht="12.75">
      <c r="A614" s="367">
        <f t="shared" si="57"/>
        <v>593</v>
      </c>
      <c r="B614" s="368">
        <v>70</v>
      </c>
      <c r="C614" s="368"/>
      <c r="D614" s="369"/>
      <c r="E614" s="85" t="s">
        <v>288</v>
      </c>
      <c r="F614" s="49">
        <f>+F615</f>
        <v>0</v>
      </c>
      <c r="G614" s="50">
        <f t="shared" si="56"/>
        <v>12543</v>
      </c>
      <c r="H614" s="49">
        <f>+H615</f>
        <v>5754</v>
      </c>
      <c r="I614" s="49">
        <f>+I615</f>
        <v>2883</v>
      </c>
      <c r="J614" s="209">
        <f>+J615</f>
        <v>2610</v>
      </c>
      <c r="K614" s="49">
        <f>+K615</f>
        <v>1296</v>
      </c>
      <c r="L614" s="218"/>
      <c r="N614" s="123"/>
      <c r="O614" s="123"/>
      <c r="P614" s="123"/>
      <c r="Q614" s="123"/>
      <c r="R614" s="123"/>
      <c r="S614" s="123"/>
      <c r="T614" s="123"/>
    </row>
    <row r="615" spans="1:20" ht="12.75">
      <c r="A615" s="367">
        <f t="shared" si="57"/>
        <v>594</v>
      </c>
      <c r="B615" s="368">
        <v>71</v>
      </c>
      <c r="C615" s="368"/>
      <c r="D615" s="369"/>
      <c r="E615" s="85" t="s">
        <v>238</v>
      </c>
      <c r="F615" s="49">
        <f>+F616+F621</f>
        <v>0</v>
      </c>
      <c r="G615" s="50">
        <f t="shared" si="56"/>
        <v>12543</v>
      </c>
      <c r="H615" s="49">
        <f>+H616+H621</f>
        <v>5754</v>
      </c>
      <c r="I615" s="49">
        <f>+I616+I621</f>
        <v>2883</v>
      </c>
      <c r="J615" s="209">
        <f>+J616+J621</f>
        <v>2610</v>
      </c>
      <c r="K615" s="49">
        <f>+K616+K621</f>
        <v>1296</v>
      </c>
      <c r="L615" s="218"/>
      <c r="N615" s="123"/>
      <c r="O615" s="123"/>
      <c r="P615" s="123"/>
      <c r="Q615" s="123"/>
      <c r="R615" s="123"/>
      <c r="S615" s="123"/>
      <c r="T615" s="123"/>
    </row>
    <row r="616" spans="1:20" ht="12.75">
      <c r="A616" s="367">
        <f t="shared" si="57"/>
        <v>595</v>
      </c>
      <c r="B616" s="368"/>
      <c r="C616" s="377" t="s">
        <v>47</v>
      </c>
      <c r="D616" s="369"/>
      <c r="E616" s="85" t="s">
        <v>77</v>
      </c>
      <c r="F616" s="49">
        <f>+F617+F618+F619+F620</f>
        <v>0</v>
      </c>
      <c r="G616" s="50">
        <f t="shared" si="56"/>
        <v>12543</v>
      </c>
      <c r="H616" s="49">
        <f>+H617+H618+H619+H620</f>
        <v>5754</v>
      </c>
      <c r="I616" s="49">
        <f>+I617+I618+I619+I620</f>
        <v>2883</v>
      </c>
      <c r="J616" s="209">
        <f>+J617+J618+J619+J620</f>
        <v>2610</v>
      </c>
      <c r="K616" s="49">
        <f>+K617+K618+K619+K620</f>
        <v>1296</v>
      </c>
      <c r="L616" s="218"/>
      <c r="N616" s="123"/>
      <c r="O616" s="123"/>
      <c r="P616" s="123"/>
      <c r="Q616" s="123"/>
      <c r="R616" s="123"/>
      <c r="S616" s="123"/>
      <c r="T616" s="123"/>
    </row>
    <row r="617" spans="1:20" ht="12.75">
      <c r="A617" s="367">
        <f t="shared" si="57"/>
        <v>596</v>
      </c>
      <c r="B617" s="368"/>
      <c r="C617" s="368"/>
      <c r="D617" s="379" t="s">
        <v>47</v>
      </c>
      <c r="E617" s="66" t="s">
        <v>239</v>
      </c>
      <c r="F617" s="375"/>
      <c r="G617" s="79">
        <f t="shared" si="56"/>
        <v>0</v>
      </c>
      <c r="H617" s="375"/>
      <c r="I617" s="375"/>
      <c r="J617" s="447"/>
      <c r="K617" s="375"/>
      <c r="L617" s="218"/>
      <c r="N617" s="123"/>
      <c r="O617" s="123"/>
      <c r="P617" s="123"/>
      <c r="Q617" s="123"/>
      <c r="R617" s="123"/>
      <c r="S617" s="123"/>
      <c r="T617" s="123"/>
    </row>
    <row r="618" spans="1:20" ht="12.75">
      <c r="A618" s="367">
        <f t="shared" si="57"/>
        <v>597</v>
      </c>
      <c r="B618" s="368"/>
      <c r="C618" s="368"/>
      <c r="D618" s="379" t="s">
        <v>80</v>
      </c>
      <c r="E618" s="66" t="s">
        <v>81</v>
      </c>
      <c r="F618" s="375"/>
      <c r="G618" s="79">
        <f t="shared" si="56"/>
        <v>12543</v>
      </c>
      <c r="H618" s="375">
        <v>5754</v>
      </c>
      <c r="I618" s="375">
        <f>1579+1304</f>
        <v>2883</v>
      </c>
      <c r="J618" s="447">
        <v>2610</v>
      </c>
      <c r="K618" s="375">
        <v>1296</v>
      </c>
      <c r="L618" s="218"/>
      <c r="N618" s="123"/>
      <c r="O618" s="123"/>
      <c r="P618" s="123"/>
      <c r="Q618" s="123"/>
      <c r="R618" s="123"/>
      <c r="S618" s="123"/>
      <c r="T618" s="123"/>
    </row>
    <row r="619" spans="1:20" ht="12.75">
      <c r="A619" s="367">
        <f t="shared" si="57"/>
        <v>598</v>
      </c>
      <c r="B619" s="368"/>
      <c r="C619" s="368"/>
      <c r="D619" s="379" t="s">
        <v>84</v>
      </c>
      <c r="E619" s="66" t="s">
        <v>245</v>
      </c>
      <c r="F619" s="375"/>
      <c r="G619" s="79">
        <f t="shared" si="56"/>
        <v>0</v>
      </c>
      <c r="H619" s="375"/>
      <c r="I619" s="375"/>
      <c r="J619" s="447"/>
      <c r="K619" s="375"/>
      <c r="L619" s="218"/>
      <c r="N619" s="123"/>
      <c r="O619" s="123"/>
      <c r="P619" s="123"/>
      <c r="Q619" s="123"/>
      <c r="R619" s="123"/>
      <c r="S619" s="123"/>
      <c r="T619" s="123"/>
    </row>
    <row r="620" spans="1:20" ht="12.75">
      <c r="A620" s="367">
        <f t="shared" si="57"/>
        <v>599</v>
      </c>
      <c r="B620" s="368"/>
      <c r="C620" s="368"/>
      <c r="D620" s="369">
        <v>30</v>
      </c>
      <c r="E620" s="66" t="s">
        <v>275</v>
      </c>
      <c r="F620" s="375"/>
      <c r="G620" s="79">
        <f t="shared" si="56"/>
        <v>0</v>
      </c>
      <c r="H620" s="375"/>
      <c r="I620" s="375"/>
      <c r="J620" s="447"/>
      <c r="K620" s="375"/>
      <c r="L620" s="218"/>
      <c r="N620" s="123"/>
      <c r="O620" s="123"/>
      <c r="P620" s="123"/>
      <c r="Q620" s="123"/>
      <c r="R620" s="123"/>
      <c r="S620" s="123"/>
      <c r="T620" s="123"/>
    </row>
    <row r="621" spans="1:20" ht="12.75">
      <c r="A621" s="367">
        <f t="shared" si="57"/>
        <v>600</v>
      </c>
      <c r="B621" s="368"/>
      <c r="C621" s="377" t="s">
        <v>84</v>
      </c>
      <c r="D621" s="369"/>
      <c r="E621" s="59" t="s">
        <v>243</v>
      </c>
      <c r="F621" s="375"/>
      <c r="G621" s="79">
        <f t="shared" si="56"/>
        <v>0</v>
      </c>
      <c r="H621" s="375"/>
      <c r="I621" s="375"/>
      <c r="J621" s="447"/>
      <c r="K621" s="375"/>
      <c r="L621" s="218"/>
      <c r="N621" s="123"/>
      <c r="O621" s="123"/>
      <c r="P621" s="123"/>
      <c r="Q621" s="123"/>
      <c r="R621" s="123"/>
      <c r="S621" s="123"/>
      <c r="T621" s="123"/>
    </row>
    <row r="622" spans="1:20" ht="12.75">
      <c r="A622" s="367">
        <f t="shared" si="57"/>
        <v>601</v>
      </c>
      <c r="B622" s="368"/>
      <c r="C622" s="368"/>
      <c r="D622" s="369"/>
      <c r="E622" s="85" t="s">
        <v>244</v>
      </c>
      <c r="F622" s="49">
        <f>+F623+F624+F625</f>
        <v>0</v>
      </c>
      <c r="G622" s="50">
        <f t="shared" si="56"/>
        <v>0</v>
      </c>
      <c r="H622" s="49">
        <f>+H623+H624+H625</f>
        <v>0</v>
      </c>
      <c r="I622" s="49">
        <f>+I623+I624+I625</f>
        <v>0</v>
      </c>
      <c r="J622" s="209">
        <f>+J623+J624+J625</f>
        <v>0</v>
      </c>
      <c r="K622" s="49">
        <f>+K623+K624+K625</f>
        <v>0</v>
      </c>
      <c r="L622" s="218"/>
      <c r="N622" s="123"/>
      <c r="O622" s="123"/>
      <c r="P622" s="123"/>
      <c r="Q622" s="123"/>
      <c r="R622" s="123"/>
      <c r="S622" s="123"/>
      <c r="T622" s="123"/>
    </row>
    <row r="623" spans="1:20" ht="12.75">
      <c r="A623" s="367">
        <f t="shared" si="57"/>
        <v>602</v>
      </c>
      <c r="B623" s="368">
        <v>71</v>
      </c>
      <c r="C623" s="377" t="s">
        <v>47</v>
      </c>
      <c r="D623" s="379" t="s">
        <v>80</v>
      </c>
      <c r="E623" s="66" t="s">
        <v>81</v>
      </c>
      <c r="F623" s="375"/>
      <c r="G623" s="79">
        <f t="shared" si="56"/>
        <v>0</v>
      </c>
      <c r="H623" s="375"/>
      <c r="I623" s="375"/>
      <c r="J623" s="447"/>
      <c r="K623" s="375"/>
      <c r="L623" s="218"/>
      <c r="N623" s="123"/>
      <c r="O623" s="123"/>
      <c r="P623" s="123"/>
      <c r="Q623" s="123"/>
      <c r="R623" s="123"/>
      <c r="S623" s="123"/>
      <c r="T623" s="123"/>
    </row>
    <row r="624" spans="1:12" ht="12.75">
      <c r="A624" s="367">
        <f t="shared" si="57"/>
        <v>603</v>
      </c>
      <c r="B624" s="368"/>
      <c r="C624" s="368"/>
      <c r="D624" s="379" t="s">
        <v>84</v>
      </c>
      <c r="E624" s="66" t="s">
        <v>245</v>
      </c>
      <c r="F624" s="375"/>
      <c r="G624" s="79">
        <f t="shared" si="56"/>
        <v>0</v>
      </c>
      <c r="H624" s="375"/>
      <c r="I624" s="375"/>
      <c r="J624" s="447"/>
      <c r="K624" s="375"/>
      <c r="L624" s="218"/>
    </row>
    <row r="625" spans="1:12" ht="12.75">
      <c r="A625" s="367">
        <f t="shared" si="57"/>
        <v>604</v>
      </c>
      <c r="B625" s="368"/>
      <c r="C625" s="368"/>
      <c r="D625" s="369">
        <v>30</v>
      </c>
      <c r="E625" s="97" t="s">
        <v>242</v>
      </c>
      <c r="F625" s="375"/>
      <c r="G625" s="79">
        <f t="shared" si="56"/>
        <v>0</v>
      </c>
      <c r="H625" s="375"/>
      <c r="I625" s="375"/>
      <c r="J625" s="447"/>
      <c r="K625" s="375"/>
      <c r="L625" s="218"/>
    </row>
    <row r="626" spans="1:12" ht="12.75">
      <c r="A626" s="367">
        <f t="shared" si="57"/>
        <v>605</v>
      </c>
      <c r="B626" s="368"/>
      <c r="C626" s="368"/>
      <c r="D626" s="369"/>
      <c r="E626" s="66" t="s">
        <v>246</v>
      </c>
      <c r="F626" s="79">
        <f>F628</f>
        <v>0</v>
      </c>
      <c r="G626" s="50">
        <f t="shared" si="56"/>
        <v>15828</v>
      </c>
      <c r="H626" s="79">
        <f>H628</f>
        <v>6874</v>
      </c>
      <c r="I626" s="79">
        <f>I628</f>
        <v>3444</v>
      </c>
      <c r="J626" s="450">
        <f>J628</f>
        <v>3348</v>
      </c>
      <c r="K626" s="79">
        <f>K628</f>
        <v>2162</v>
      </c>
      <c r="L626" s="218"/>
    </row>
    <row r="627" spans="1:12" ht="12.75">
      <c r="A627" s="367"/>
      <c r="B627" s="368" t="s">
        <v>18</v>
      </c>
      <c r="C627" s="368" t="s">
        <v>247</v>
      </c>
      <c r="D627" s="86" t="s">
        <v>20</v>
      </c>
      <c r="E627" s="66"/>
      <c r="F627" s="79"/>
      <c r="G627" s="79"/>
      <c r="H627" s="79"/>
      <c r="I627" s="79"/>
      <c r="J627" s="450"/>
      <c r="K627" s="79"/>
      <c r="L627" s="218"/>
    </row>
    <row r="628" spans="1:12" ht="12.75">
      <c r="A628" s="367">
        <f>A626+1</f>
        <v>606</v>
      </c>
      <c r="B628" s="368"/>
      <c r="C628" s="368"/>
      <c r="D628" s="369"/>
      <c r="E628" s="85" t="s">
        <v>249</v>
      </c>
      <c r="F628" s="49">
        <f>+F629+F632+F633</f>
        <v>0</v>
      </c>
      <c r="G628" s="50">
        <f aca="true" t="shared" si="58" ref="G628:G640">H628+I628+J628+K628</f>
        <v>15828</v>
      </c>
      <c r="H628" s="49">
        <f>+H629+H632+H633+H637</f>
        <v>6874</v>
      </c>
      <c r="I628" s="49">
        <f>+I629+I632+I633+I637</f>
        <v>3444</v>
      </c>
      <c r="J628" s="209">
        <f>+J629+J632+J633+J637</f>
        <v>3348</v>
      </c>
      <c r="K628" s="49">
        <f>+K629+K632+K633+K637</f>
        <v>2162</v>
      </c>
      <c r="L628" s="218"/>
    </row>
    <row r="629" spans="1:12" ht="12.75">
      <c r="A629" s="367">
        <f t="shared" si="57"/>
        <v>607</v>
      </c>
      <c r="B629" s="368"/>
      <c r="C629" s="377" t="s">
        <v>108</v>
      </c>
      <c r="D629" s="369"/>
      <c r="E629" s="59" t="s">
        <v>250</v>
      </c>
      <c r="F629" s="49">
        <f>+F630+F631</f>
        <v>0</v>
      </c>
      <c r="G629" s="50">
        <f t="shared" si="58"/>
        <v>0</v>
      </c>
      <c r="H629" s="49">
        <f>+H630+H631</f>
        <v>0</v>
      </c>
      <c r="I629" s="49">
        <f>+I630+I631</f>
        <v>0</v>
      </c>
      <c r="J629" s="209">
        <f>+J630+J631</f>
        <v>0</v>
      </c>
      <c r="K629" s="49">
        <f>+K630+K631</f>
        <v>0</v>
      </c>
      <c r="L629" s="218"/>
    </row>
    <row r="630" spans="1:12" ht="12.75">
      <c r="A630" s="367">
        <f t="shared" si="57"/>
        <v>608</v>
      </c>
      <c r="B630" s="368"/>
      <c r="C630" s="368"/>
      <c r="D630" s="379" t="s">
        <v>80</v>
      </c>
      <c r="E630" s="66" t="s">
        <v>251</v>
      </c>
      <c r="F630" s="375"/>
      <c r="G630" s="79">
        <f t="shared" si="58"/>
        <v>0</v>
      </c>
      <c r="H630" s="375"/>
      <c r="I630" s="375"/>
      <c r="J630" s="447"/>
      <c r="K630" s="375"/>
      <c r="L630" s="218"/>
    </row>
    <row r="631" spans="1:12" ht="12.75">
      <c r="A631" s="367">
        <f t="shared" si="57"/>
        <v>609</v>
      </c>
      <c r="B631" s="368"/>
      <c r="C631" s="368"/>
      <c r="D631" s="369">
        <v>50</v>
      </c>
      <c r="E631" s="66" t="s">
        <v>278</v>
      </c>
      <c r="F631" s="375"/>
      <c r="G631" s="79">
        <f t="shared" si="58"/>
        <v>0</v>
      </c>
      <c r="H631" s="375"/>
      <c r="I631" s="375"/>
      <c r="J631" s="447"/>
      <c r="K631" s="375"/>
      <c r="L631" s="218"/>
    </row>
    <row r="632" spans="1:12" ht="12.75">
      <c r="A632" s="367">
        <f t="shared" si="57"/>
        <v>610</v>
      </c>
      <c r="B632" s="368"/>
      <c r="C632" s="377" t="s">
        <v>41</v>
      </c>
      <c r="D632" s="369"/>
      <c r="E632" s="59" t="s">
        <v>253</v>
      </c>
      <c r="F632" s="375"/>
      <c r="G632" s="79">
        <f t="shared" si="58"/>
        <v>0</v>
      </c>
      <c r="H632" s="375"/>
      <c r="I632" s="375"/>
      <c r="J632" s="447"/>
      <c r="K632" s="375"/>
      <c r="L632" s="218"/>
    </row>
    <row r="633" spans="1:12" ht="12.75">
      <c r="A633" s="367">
        <f t="shared" si="57"/>
        <v>611</v>
      </c>
      <c r="B633" s="368"/>
      <c r="C633" s="377" t="s">
        <v>154</v>
      </c>
      <c r="D633" s="369"/>
      <c r="E633" s="59" t="s">
        <v>289</v>
      </c>
      <c r="F633" s="49">
        <f>+F634+F635</f>
        <v>0</v>
      </c>
      <c r="G633" s="50">
        <f t="shared" si="58"/>
        <v>15828</v>
      </c>
      <c r="H633" s="49">
        <f>+H634+H635+H636</f>
        <v>6874</v>
      </c>
      <c r="I633" s="49">
        <f>+I634+I635+I636</f>
        <v>3444</v>
      </c>
      <c r="J633" s="209">
        <f>+J634+J635+J636</f>
        <v>3348</v>
      </c>
      <c r="K633" s="49">
        <f>+K634+K635+K636</f>
        <v>2162</v>
      </c>
      <c r="L633" s="218"/>
    </row>
    <row r="634" spans="1:12" ht="12.75">
      <c r="A634" s="367">
        <f t="shared" si="57"/>
        <v>612</v>
      </c>
      <c r="B634" s="368"/>
      <c r="C634" s="368"/>
      <c r="D634" s="379" t="s">
        <v>47</v>
      </c>
      <c r="E634" s="66" t="s">
        <v>255</v>
      </c>
      <c r="F634" s="375"/>
      <c r="G634" s="50">
        <f t="shared" si="58"/>
        <v>15828</v>
      </c>
      <c r="H634" s="375">
        <v>6874</v>
      </c>
      <c r="I634" s="375">
        <v>3444</v>
      </c>
      <c r="J634" s="447">
        <v>3348</v>
      </c>
      <c r="K634" s="375">
        <v>2162</v>
      </c>
      <c r="L634" s="218"/>
    </row>
    <row r="635" spans="1:12" ht="12.75">
      <c r="A635" s="367">
        <f t="shared" si="57"/>
        <v>613</v>
      </c>
      <c r="B635" s="368"/>
      <c r="C635" s="368"/>
      <c r="D635" s="379" t="s">
        <v>154</v>
      </c>
      <c r="E635" s="66" t="s">
        <v>296</v>
      </c>
      <c r="F635" s="375"/>
      <c r="G635" s="79">
        <f t="shared" si="58"/>
        <v>0</v>
      </c>
      <c r="H635" s="375"/>
      <c r="I635" s="375"/>
      <c r="J635" s="447"/>
      <c r="K635" s="375"/>
      <c r="L635" s="218"/>
    </row>
    <row r="636" spans="1:12" ht="12.75">
      <c r="A636" s="367">
        <f t="shared" si="57"/>
        <v>614</v>
      </c>
      <c r="B636" s="368"/>
      <c r="C636" s="379">
        <v>10</v>
      </c>
      <c r="D636" s="379"/>
      <c r="E636" s="66" t="s">
        <v>290</v>
      </c>
      <c r="F636" s="375"/>
      <c r="G636" s="79">
        <f t="shared" si="58"/>
        <v>0</v>
      </c>
      <c r="H636" s="375"/>
      <c r="I636" s="375"/>
      <c r="J636" s="447"/>
      <c r="K636" s="375"/>
      <c r="L636" s="218"/>
    </row>
    <row r="637" spans="1:12" ht="12.75">
      <c r="A637" s="367">
        <f t="shared" si="57"/>
        <v>615</v>
      </c>
      <c r="B637" s="368"/>
      <c r="C637" s="421">
        <v>50</v>
      </c>
      <c r="D637" s="421"/>
      <c r="E637" s="59" t="s">
        <v>291</v>
      </c>
      <c r="F637" s="109"/>
      <c r="G637" s="50">
        <f t="shared" si="58"/>
        <v>0</v>
      </c>
      <c r="H637" s="168">
        <f>H638+H639</f>
        <v>0</v>
      </c>
      <c r="I637" s="168">
        <f>I638+I639</f>
        <v>0</v>
      </c>
      <c r="J637" s="212">
        <f>J638+J639</f>
        <v>0</v>
      </c>
      <c r="K637" s="168">
        <f>K638+K639</f>
        <v>0</v>
      </c>
      <c r="L637" s="218"/>
    </row>
    <row r="638" spans="1:12" ht="12.75">
      <c r="A638" s="367">
        <f t="shared" si="57"/>
        <v>616</v>
      </c>
      <c r="B638" s="368"/>
      <c r="C638" s="368"/>
      <c r="D638" s="427" t="s">
        <v>47</v>
      </c>
      <c r="E638" s="66" t="s">
        <v>259</v>
      </c>
      <c r="F638" s="375"/>
      <c r="G638" s="79">
        <f t="shared" si="58"/>
        <v>0</v>
      </c>
      <c r="H638" s="375"/>
      <c r="I638" s="375"/>
      <c r="J638" s="447"/>
      <c r="K638" s="375"/>
      <c r="L638" s="218"/>
    </row>
    <row r="639" spans="1:12" ht="12.75">
      <c r="A639" s="367">
        <f t="shared" si="57"/>
        <v>617</v>
      </c>
      <c r="B639" s="368"/>
      <c r="C639" s="368"/>
      <c r="D639" s="379">
        <v>50</v>
      </c>
      <c r="E639" s="66" t="s">
        <v>292</v>
      </c>
      <c r="F639" s="375"/>
      <c r="G639" s="79">
        <f t="shared" si="58"/>
        <v>0</v>
      </c>
      <c r="H639" s="375"/>
      <c r="I639" s="375"/>
      <c r="J639" s="447"/>
      <c r="K639" s="375"/>
      <c r="L639" s="218"/>
    </row>
    <row r="640" spans="1:12" ht="12.75">
      <c r="A640" s="367">
        <f t="shared" si="57"/>
        <v>618</v>
      </c>
      <c r="B640" s="368"/>
      <c r="C640" s="368"/>
      <c r="D640" s="369"/>
      <c r="E640" s="66" t="s">
        <v>299</v>
      </c>
      <c r="F640" s="428"/>
      <c r="G640" s="50">
        <f t="shared" si="58"/>
        <v>0</v>
      </c>
      <c r="H640" s="428"/>
      <c r="I640" s="428"/>
      <c r="J640" s="471"/>
      <c r="K640" s="428"/>
      <c r="L640" s="218"/>
    </row>
    <row r="641" spans="1:13" ht="12.75">
      <c r="A641" s="367">
        <f t="shared" si="57"/>
        <v>619</v>
      </c>
      <c r="B641" s="368"/>
      <c r="C641" s="368"/>
      <c r="D641" s="369"/>
      <c r="E641" s="66" t="s">
        <v>300</v>
      </c>
      <c r="F641" s="428"/>
      <c r="G641" s="50">
        <f>H641+I641+J641+K641</f>
        <v>0</v>
      </c>
      <c r="H641" s="428"/>
      <c r="I641" s="428"/>
      <c r="J641" s="471"/>
      <c r="K641" s="428"/>
      <c r="L641" s="218"/>
      <c r="M641" s="317"/>
    </row>
    <row r="642" spans="1:12" ht="13.5" thickBot="1">
      <c r="A642" s="367">
        <f t="shared" si="57"/>
        <v>620</v>
      </c>
      <c r="B642" s="429"/>
      <c r="C642" s="429"/>
      <c r="D642" s="430"/>
      <c r="E642" s="431" t="s">
        <v>301</v>
      </c>
      <c r="F642" s="432"/>
      <c r="G642" s="433">
        <f>H642+I642+J642+K642</f>
        <v>4585.22</v>
      </c>
      <c r="H642" s="432"/>
      <c r="I642" s="432"/>
      <c r="J642" s="472"/>
      <c r="K642" s="415">
        <v>4585.22</v>
      </c>
      <c r="L642" s="218"/>
    </row>
    <row r="643" spans="1:11" ht="10.5" customHeight="1">
      <c r="A643" s="184"/>
      <c r="B643" s="184"/>
      <c r="C643" s="184"/>
      <c r="D643" s="184"/>
      <c r="E643" s="184"/>
      <c r="F643" s="184"/>
      <c r="G643" s="184"/>
      <c r="H643" s="184"/>
      <c r="I643" s="434"/>
      <c r="J643" s="184"/>
      <c r="K643" s="184"/>
    </row>
    <row r="644" spans="1:11" ht="12.75" hidden="1">
      <c r="A644" s="3" t="s">
        <v>302</v>
      </c>
      <c r="B644" s="2"/>
      <c r="C644" s="2"/>
      <c r="D644" s="3"/>
      <c r="E644" s="3"/>
      <c r="F644" s="3"/>
      <c r="G644" s="3"/>
      <c r="H644" s="3"/>
      <c r="I644" s="3"/>
      <c r="J644" s="3"/>
      <c r="K644" s="3"/>
    </row>
    <row r="645" spans="1:11" ht="12.75" hidden="1">
      <c r="A645" s="3" t="s">
        <v>303</v>
      </c>
      <c r="B645" s="2"/>
      <c r="C645" s="2"/>
      <c r="D645" s="3"/>
      <c r="E645" s="3"/>
      <c r="F645" s="3"/>
      <c r="G645" s="3"/>
      <c r="H645" s="3"/>
      <c r="I645" s="3"/>
      <c r="J645" s="3"/>
      <c r="K645" s="3"/>
    </row>
    <row r="646" spans="1:11" ht="12.75" hidden="1">
      <c r="A646" s="3" t="s">
        <v>304</v>
      </c>
      <c r="B646" s="2"/>
      <c r="C646" s="2"/>
      <c r="D646" s="3"/>
      <c r="E646" s="3"/>
      <c r="F646" s="3"/>
      <c r="G646" s="3"/>
      <c r="H646" s="3"/>
      <c r="I646" s="3"/>
      <c r="J646" s="3"/>
      <c r="K646" s="3"/>
    </row>
    <row r="647" spans="1:11" ht="12.75" hidden="1">
      <c r="A647" s="184"/>
      <c r="B647" s="184"/>
      <c r="C647" s="184"/>
      <c r="D647" s="184"/>
      <c r="E647" s="184"/>
      <c r="F647" s="184"/>
      <c r="G647" s="184"/>
      <c r="H647" s="184"/>
      <c r="I647" s="184"/>
      <c r="J647" s="184"/>
      <c r="K647" s="184"/>
    </row>
    <row r="648" spans="1:11" ht="12.75" hidden="1">
      <c r="A648" s="29" t="s">
        <v>305</v>
      </c>
      <c r="B648" s="435"/>
      <c r="C648" s="435"/>
      <c r="D648" s="436"/>
      <c r="E648" s="436"/>
      <c r="F648" s="436"/>
      <c r="G648" s="436"/>
      <c r="H648" s="436"/>
      <c r="I648" s="436"/>
      <c r="J648" s="436"/>
      <c r="K648" s="436"/>
    </row>
    <row r="649" spans="1:11" ht="12.75" hidden="1">
      <c r="A649" s="3" t="s">
        <v>306</v>
      </c>
      <c r="B649" s="2"/>
      <c r="C649" s="2"/>
      <c r="D649" s="3"/>
      <c r="E649" s="3"/>
      <c r="F649" s="3"/>
      <c r="G649" s="3"/>
      <c r="H649" s="3"/>
      <c r="I649" s="3"/>
      <c r="J649" s="3"/>
      <c r="K649" s="3"/>
    </row>
    <row r="650" spans="1:11" ht="12.75" hidden="1">
      <c r="A650" s="3" t="s">
        <v>307</v>
      </c>
      <c r="B650" s="2"/>
      <c r="C650" s="2"/>
      <c r="D650" s="3"/>
      <c r="E650" s="3"/>
      <c r="F650" s="3"/>
      <c r="G650" s="3"/>
      <c r="H650" s="3"/>
      <c r="I650" s="3"/>
      <c r="J650" s="3"/>
      <c r="K650" s="3"/>
    </row>
    <row r="651" spans="1:11" ht="12.75">
      <c r="A651" s="184"/>
      <c r="B651" s="184"/>
      <c r="C651" s="184"/>
      <c r="D651" s="437" t="s">
        <v>308</v>
      </c>
      <c r="E651" s="184"/>
      <c r="F651" s="2" t="s">
        <v>309</v>
      </c>
      <c r="G651" s="171"/>
      <c r="H651" s="438"/>
      <c r="I651" s="434"/>
      <c r="J651" s="434"/>
      <c r="K651" s="434"/>
    </row>
    <row r="652" spans="1:11" ht="12.75">
      <c r="A652" s="184"/>
      <c r="B652" s="184"/>
      <c r="C652" s="184"/>
      <c r="D652" s="9" t="s">
        <v>310</v>
      </c>
      <c r="E652" s="184"/>
      <c r="F652" s="2" t="s">
        <v>311</v>
      </c>
      <c r="G652" s="2"/>
      <c r="H652" s="2"/>
      <c r="I652" s="184"/>
      <c r="J652" s="184"/>
      <c r="K652" s="184"/>
    </row>
    <row r="653" spans="1:11" ht="12.75">
      <c r="A653" s="184"/>
      <c r="B653" s="184"/>
      <c r="C653" s="184"/>
      <c r="D653" s="9"/>
      <c r="E653" s="184"/>
      <c r="F653" s="184"/>
      <c r="G653" s="184"/>
      <c r="H653" s="2"/>
      <c r="I653" s="184"/>
      <c r="J653" s="184"/>
      <c r="K653" s="184"/>
    </row>
    <row r="654" spans="1:11" ht="12.75">
      <c r="A654" s="184"/>
      <c r="B654" s="184"/>
      <c r="C654" s="184"/>
      <c r="D654" s="9"/>
      <c r="E654" s="184"/>
      <c r="F654" s="184"/>
      <c r="G654" s="184"/>
      <c r="H654" s="2"/>
      <c r="I654" s="184"/>
      <c r="J654" s="184"/>
      <c r="K654" s="184"/>
    </row>
    <row r="655" spans="1:11" ht="12.75">
      <c r="A655" s="184"/>
      <c r="B655" s="184"/>
      <c r="C655" s="184"/>
      <c r="D655" s="184"/>
      <c r="E655" s="127"/>
      <c r="F655" s="127" t="s">
        <v>312</v>
      </c>
      <c r="G655" s="185"/>
      <c r="H655" s="185"/>
      <c r="I655" s="439"/>
      <c r="J655" s="185"/>
      <c r="K655" s="185"/>
    </row>
    <row r="656" spans="1:11" ht="15" customHeight="1">
      <c r="A656" s="184"/>
      <c r="B656" s="184"/>
      <c r="C656" s="184"/>
      <c r="D656" s="184"/>
      <c r="E656" s="127"/>
      <c r="F656" s="127" t="s">
        <v>313</v>
      </c>
      <c r="G656" s="185"/>
      <c r="H656" s="185"/>
      <c r="I656" s="439"/>
      <c r="J656" s="185"/>
      <c r="K656" s="185"/>
    </row>
    <row r="657" spans="1:11" ht="13.5">
      <c r="A657" s="184"/>
      <c r="B657" s="186" t="s">
        <v>314</v>
      </c>
      <c r="C657" s="32"/>
      <c r="D657" s="32"/>
      <c r="E657" s="172"/>
      <c r="F657" s="172"/>
      <c r="G657" s="173"/>
      <c r="H657" s="173"/>
      <c r="I657" s="173"/>
      <c r="J657" s="173"/>
      <c r="K657" s="187"/>
    </row>
    <row r="658" spans="1:11" ht="13.5">
      <c r="A658" s="184"/>
      <c r="B658" s="188" t="s">
        <v>315</v>
      </c>
      <c r="C658" s="174"/>
      <c r="D658" s="174"/>
      <c r="E658" s="174"/>
      <c r="F658" s="172"/>
      <c r="G658" s="173"/>
      <c r="H658" s="173"/>
      <c r="I658" s="173"/>
      <c r="J658" s="173"/>
      <c r="K658" s="187"/>
    </row>
    <row r="659" spans="1:11" ht="13.5">
      <c r="A659" s="184"/>
      <c r="B659" s="188" t="s">
        <v>316</v>
      </c>
      <c r="C659" s="174"/>
      <c r="D659" s="174"/>
      <c r="E659" s="174"/>
      <c r="F659" s="172"/>
      <c r="G659" s="175"/>
      <c r="H659" s="175"/>
      <c r="I659" s="175"/>
      <c r="J659" s="175"/>
      <c r="K659" s="146"/>
    </row>
    <row r="660" spans="1:11" ht="13.5">
      <c r="A660" s="184"/>
      <c r="B660" s="186"/>
      <c r="C660" s="32"/>
      <c r="D660" s="32"/>
      <c r="E660" s="32"/>
      <c r="F660" s="176"/>
      <c r="G660" s="173"/>
      <c r="H660" s="173"/>
      <c r="I660" s="173"/>
      <c r="J660" s="173"/>
      <c r="K660" s="187"/>
    </row>
    <row r="661" spans="1:11" ht="13.5">
      <c r="A661" s="189" t="s">
        <v>317</v>
      </c>
      <c r="B661" s="7"/>
      <c r="C661" s="7"/>
      <c r="D661" s="7"/>
      <c r="E661" s="180"/>
      <c r="F661" s="180"/>
      <c r="G661" s="190"/>
      <c r="H661" s="190"/>
      <c r="I661" s="190"/>
      <c r="J661" s="190"/>
      <c r="K661" s="185"/>
    </row>
    <row r="662" spans="1:11" ht="13.5">
      <c r="A662" s="189" t="s">
        <v>318</v>
      </c>
      <c r="B662" s="7"/>
      <c r="C662" s="7"/>
      <c r="D662" s="7"/>
      <c r="E662" s="190"/>
      <c r="F662" s="190"/>
      <c r="G662" s="191"/>
      <c r="H662" s="190"/>
      <c r="I662" s="178"/>
      <c r="J662" s="190"/>
      <c r="K662" s="185"/>
    </row>
    <row r="663" spans="1:11" ht="13.5">
      <c r="A663" s="189" t="s">
        <v>319</v>
      </c>
      <c r="B663" s="7"/>
      <c r="C663" s="7"/>
      <c r="D663" s="7"/>
      <c r="E663" s="190"/>
      <c r="F663" s="190"/>
      <c r="G663" s="190"/>
      <c r="H663" s="190"/>
      <c r="I663" s="190"/>
      <c r="J663" s="190"/>
      <c r="K663" s="185"/>
    </row>
    <row r="664" spans="1:11" ht="13.5">
      <c r="A664" s="189" t="s">
        <v>320</v>
      </c>
      <c r="B664" s="7"/>
      <c r="C664" s="7"/>
      <c r="D664" s="7"/>
      <c r="E664" s="190"/>
      <c r="F664" s="190"/>
      <c r="G664" s="192"/>
      <c r="H664" s="192"/>
      <c r="I664" s="178"/>
      <c r="J664" s="192"/>
      <c r="K664" s="185"/>
    </row>
    <row r="665" spans="1:11" ht="12.75">
      <c r="A665" s="193"/>
      <c r="B665" s="32"/>
      <c r="C665" s="32"/>
      <c r="D665" s="32"/>
      <c r="E665" s="177"/>
      <c r="F665" s="177"/>
      <c r="G665" s="177"/>
      <c r="H665" s="177"/>
      <c r="I665" s="178"/>
      <c r="J665" s="173"/>
      <c r="K665" s="185"/>
    </row>
    <row r="666" spans="1:11" ht="12.75">
      <c r="A666" s="184"/>
      <c r="B666" s="184"/>
      <c r="C666" s="184"/>
      <c r="D666" s="184"/>
      <c r="E666" s="194"/>
      <c r="F666" s="194"/>
      <c r="G666" s="194"/>
      <c r="H666" s="194"/>
      <c r="I666" s="178"/>
      <c r="J666" s="187"/>
      <c r="K666" s="185"/>
    </row>
    <row r="667" spans="1:11" ht="12.75">
      <c r="A667" s="184"/>
      <c r="B667" s="184"/>
      <c r="C667" s="184"/>
      <c r="D667" s="184"/>
      <c r="E667" s="185"/>
      <c r="F667" s="185"/>
      <c r="G667" s="187"/>
      <c r="H667" s="187"/>
      <c r="I667" s="178"/>
      <c r="J667" s="187"/>
      <c r="K667" s="185"/>
    </row>
    <row r="668" spans="1:11" ht="12.75">
      <c r="A668" s="184"/>
      <c r="B668" s="184"/>
      <c r="C668" s="184"/>
      <c r="D668" s="184"/>
      <c r="E668" s="185"/>
      <c r="F668" s="185"/>
      <c r="G668" s="178"/>
      <c r="H668" s="178"/>
      <c r="I668" s="178"/>
      <c r="J668" s="187"/>
      <c r="K668" s="185"/>
    </row>
    <row r="669" spans="1:11" ht="12.75">
      <c r="A669" s="184"/>
      <c r="B669" s="184"/>
      <c r="C669" s="184"/>
      <c r="D669" s="184"/>
      <c r="E669" s="185"/>
      <c r="F669" s="185"/>
      <c r="G669" s="185"/>
      <c r="H669" s="185"/>
      <c r="I669" s="185"/>
      <c r="J669" s="185"/>
      <c r="K669" s="185"/>
    </row>
    <row r="670" spans="1:11" ht="12.75">
      <c r="A670" s="184"/>
      <c r="B670" s="184"/>
      <c r="C670" s="184"/>
      <c r="D670" s="184"/>
      <c r="E670" s="180"/>
      <c r="F670" s="180"/>
      <c r="G670" s="185"/>
      <c r="H670" s="195"/>
      <c r="I670" s="185"/>
      <c r="J670" s="185"/>
      <c r="K670" s="185"/>
    </row>
    <row r="671" spans="1:11" ht="12.75">
      <c r="A671" s="184"/>
      <c r="B671" s="184"/>
      <c r="C671" s="184"/>
      <c r="D671" s="184"/>
      <c r="E671" s="179"/>
      <c r="F671" s="179"/>
      <c r="G671" s="180"/>
      <c r="H671" s="185"/>
      <c r="I671" s="185"/>
      <c r="J671" s="185"/>
      <c r="K671" s="185"/>
    </row>
    <row r="672" spans="1:11" ht="12.75">
      <c r="A672" s="184"/>
      <c r="B672" s="184"/>
      <c r="C672" s="184"/>
      <c r="D672" s="184"/>
      <c r="E672" s="179"/>
      <c r="F672" s="179"/>
      <c r="G672" s="180"/>
      <c r="H672" s="185"/>
      <c r="I672" s="185"/>
      <c r="J672" s="185"/>
      <c r="K672" s="185"/>
    </row>
    <row r="673" spans="1:11" ht="12.75">
      <c r="A673" s="184"/>
      <c r="B673" s="184"/>
      <c r="C673" s="184"/>
      <c r="D673" s="184"/>
      <c r="E673" s="179"/>
      <c r="F673" s="179"/>
      <c r="G673" s="181"/>
      <c r="H673" s="185"/>
      <c r="I673" s="185"/>
      <c r="J673" s="185"/>
      <c r="K673" s="185"/>
    </row>
    <row r="674" spans="1:11" ht="12.75">
      <c r="A674" s="184"/>
      <c r="B674" s="184"/>
      <c r="C674" s="184"/>
      <c r="D674" s="184"/>
      <c r="E674" s="182"/>
      <c r="F674" s="182"/>
      <c r="G674" s="183"/>
      <c r="H674" s="185"/>
      <c r="I674" s="185"/>
      <c r="J674" s="185"/>
      <c r="K674" s="185"/>
    </row>
    <row r="675" spans="1:11" ht="12.75">
      <c r="A675" s="184"/>
      <c r="B675" s="184"/>
      <c r="C675" s="184"/>
      <c r="D675" s="184"/>
      <c r="E675" s="182"/>
      <c r="F675" s="182"/>
      <c r="G675" s="180"/>
      <c r="H675" s="185"/>
      <c r="I675" s="185"/>
      <c r="J675" s="185"/>
      <c r="K675" s="185"/>
    </row>
    <row r="676" spans="1:11" ht="12.75">
      <c r="A676" s="184"/>
      <c r="B676" s="184"/>
      <c r="C676" s="184"/>
      <c r="D676" s="184"/>
      <c r="E676" s="196"/>
      <c r="F676" s="196"/>
      <c r="G676" s="185"/>
      <c r="H676" s="185"/>
      <c r="I676" s="185"/>
      <c r="J676" s="185"/>
      <c r="K676" s="185"/>
    </row>
    <row r="677" spans="1:11" ht="12.75">
      <c r="A677" s="184"/>
      <c r="B677" s="184"/>
      <c r="C677" s="184"/>
      <c r="D677" s="184"/>
      <c r="E677" s="196"/>
      <c r="F677" s="196"/>
      <c r="G677" s="185"/>
      <c r="H677" s="185"/>
      <c r="I677" s="185"/>
      <c r="J677" s="185"/>
      <c r="K677" s="185"/>
    </row>
    <row r="678" spans="1:11" ht="12.75">
      <c r="A678" s="184"/>
      <c r="B678" s="184"/>
      <c r="C678" s="184"/>
      <c r="D678" s="184"/>
      <c r="E678" s="185"/>
      <c r="F678" s="185"/>
      <c r="G678" s="185"/>
      <c r="H678" s="185"/>
      <c r="I678" s="185"/>
      <c r="J678" s="185"/>
      <c r="K678" s="185"/>
    </row>
    <row r="679" spans="1:11" ht="12.75">
      <c r="A679" s="184"/>
      <c r="B679" s="184"/>
      <c r="C679" s="184"/>
      <c r="D679" s="184"/>
      <c r="E679" s="185"/>
      <c r="F679" s="185"/>
      <c r="G679" s="185"/>
      <c r="H679" s="185"/>
      <c r="I679" s="185"/>
      <c r="J679" s="185"/>
      <c r="K679" s="185"/>
    </row>
    <row r="680" spans="1:11" ht="12.75">
      <c r="A680" s="184"/>
      <c r="B680" s="184"/>
      <c r="C680" s="184"/>
      <c r="D680" s="184"/>
      <c r="E680" s="185"/>
      <c r="F680" s="185"/>
      <c r="G680" s="185"/>
      <c r="H680" s="185"/>
      <c r="I680" s="185"/>
      <c r="J680" s="185"/>
      <c r="K680" s="185"/>
    </row>
    <row r="681" spans="1:11" ht="12.75">
      <c r="A681" s="184"/>
      <c r="B681" s="184"/>
      <c r="C681" s="184"/>
      <c r="D681" s="184"/>
      <c r="E681" s="185"/>
      <c r="F681" s="185"/>
      <c r="G681" s="185"/>
      <c r="H681" s="185"/>
      <c r="I681" s="185"/>
      <c r="J681" s="185"/>
      <c r="K681" s="185"/>
    </row>
    <row r="682" spans="1:11" ht="12.75">
      <c r="A682" s="184"/>
      <c r="B682" s="184"/>
      <c r="C682" s="184"/>
      <c r="D682" s="184"/>
      <c r="E682" s="185"/>
      <c r="F682" s="185"/>
      <c r="G682" s="185"/>
      <c r="H682" s="185"/>
      <c r="I682" s="185"/>
      <c r="J682" s="185"/>
      <c r="K682" s="185"/>
    </row>
    <row r="683" spans="1:11" ht="12.75">
      <c r="A683" s="184"/>
      <c r="B683" s="184"/>
      <c r="C683" s="184"/>
      <c r="D683" s="184"/>
      <c r="E683" s="185"/>
      <c r="F683" s="185"/>
      <c r="G683" s="185"/>
      <c r="H683" s="185"/>
      <c r="I683" s="185"/>
      <c r="J683" s="185"/>
      <c r="K683" s="185"/>
    </row>
    <row r="684" spans="1:11" ht="12.75">
      <c r="A684" s="184"/>
      <c r="B684" s="184"/>
      <c r="C684" s="184"/>
      <c r="D684" s="184"/>
      <c r="E684" s="185"/>
      <c r="F684" s="185"/>
      <c r="G684" s="185"/>
      <c r="H684" s="185"/>
      <c r="I684" s="185"/>
      <c r="J684" s="185"/>
      <c r="K684" s="185"/>
    </row>
    <row r="685" spans="1:11" ht="12.75">
      <c r="A685" s="184"/>
      <c r="B685" s="184"/>
      <c r="C685" s="184"/>
      <c r="D685" s="184"/>
      <c r="E685" s="184"/>
      <c r="F685" s="184"/>
      <c r="G685" s="184"/>
      <c r="H685" s="184"/>
      <c r="I685" s="184"/>
      <c r="J685" s="184"/>
      <c r="K685" s="184"/>
    </row>
    <row r="686" spans="1:11" ht="12.75">
      <c r="A686" s="184"/>
      <c r="B686" s="184"/>
      <c r="C686" s="184"/>
      <c r="D686" s="184"/>
      <c r="E686" s="184"/>
      <c r="F686" s="184"/>
      <c r="G686" s="184"/>
      <c r="H686" s="184"/>
      <c r="I686" s="184"/>
      <c r="J686" s="184"/>
      <c r="K686" s="184"/>
    </row>
    <row r="687" spans="1:11" ht="12.75">
      <c r="A687" s="184"/>
      <c r="B687" s="184"/>
      <c r="C687" s="184"/>
      <c r="D687" s="184"/>
      <c r="E687" s="184"/>
      <c r="F687" s="184"/>
      <c r="G687" s="184"/>
      <c r="H687" s="184"/>
      <c r="I687" s="184"/>
      <c r="J687" s="184"/>
      <c r="K687" s="184"/>
    </row>
    <row r="688" spans="1:11" ht="12.75">
      <c r="A688" s="184"/>
      <c r="B688" s="184"/>
      <c r="C688" s="184"/>
      <c r="D688" s="184"/>
      <c r="E688" s="184"/>
      <c r="F688" s="184"/>
      <c r="G688" s="184"/>
      <c r="H688" s="184"/>
      <c r="I688" s="184"/>
      <c r="J688" s="184"/>
      <c r="K688" s="184"/>
    </row>
    <row r="689" spans="1:11" ht="12.75">
      <c r="A689" s="184"/>
      <c r="B689" s="184"/>
      <c r="C689" s="184"/>
      <c r="D689" s="184"/>
      <c r="E689" s="184"/>
      <c r="F689" s="184"/>
      <c r="G689" s="184"/>
      <c r="H689" s="184"/>
      <c r="I689" s="184"/>
      <c r="J689" s="184"/>
      <c r="K689" s="184"/>
    </row>
    <row r="690" spans="1:11" ht="12.75">
      <c r="A690" s="184"/>
      <c r="B690" s="184"/>
      <c r="C690" s="184"/>
      <c r="D690" s="184"/>
      <c r="E690" s="184"/>
      <c r="F690" s="184"/>
      <c r="G690" s="184"/>
      <c r="H690" s="184"/>
      <c r="I690" s="184"/>
      <c r="J690" s="184"/>
      <c r="K690" s="184"/>
    </row>
    <row r="691" spans="1:11" ht="12.75">
      <c r="A691" s="184"/>
      <c r="B691" s="184"/>
      <c r="C691" s="184"/>
      <c r="D691" s="184"/>
      <c r="E691" s="184"/>
      <c r="F691" s="184"/>
      <c r="G691" s="184"/>
      <c r="H691" s="184"/>
      <c r="I691" s="184"/>
      <c r="J691" s="184"/>
      <c r="K691" s="184"/>
    </row>
    <row r="692" spans="1:11" ht="12.75">
      <c r="A692" s="184"/>
      <c r="B692" s="184"/>
      <c r="C692" s="184"/>
      <c r="D692" s="184"/>
      <c r="E692" s="184"/>
      <c r="F692" s="184"/>
      <c r="G692" s="184"/>
      <c r="H692" s="184"/>
      <c r="I692" s="184"/>
      <c r="J692" s="184"/>
      <c r="K692" s="184"/>
    </row>
    <row r="693" spans="1:11" ht="12.75">
      <c r="A693" s="184"/>
      <c r="B693" s="184"/>
      <c r="C693" s="184"/>
      <c r="D693" s="184"/>
      <c r="E693" s="184"/>
      <c r="F693" s="184"/>
      <c r="G693" s="184"/>
      <c r="H693" s="184"/>
      <c r="I693" s="184"/>
      <c r="J693" s="184"/>
      <c r="K693" s="184"/>
    </row>
    <row r="694" spans="1:11" ht="12.75">
      <c r="A694" s="184"/>
      <c r="B694" s="184"/>
      <c r="C694" s="184"/>
      <c r="D694" s="184"/>
      <c r="E694" s="184"/>
      <c r="F694" s="184"/>
      <c r="G694" s="184"/>
      <c r="H694" s="184"/>
      <c r="I694" s="184"/>
      <c r="J694" s="184"/>
      <c r="K694" s="184"/>
    </row>
    <row r="695" spans="1:11" ht="12.75">
      <c r="A695" s="184"/>
      <c r="B695" s="184"/>
      <c r="C695" s="184"/>
      <c r="D695" s="184"/>
      <c r="E695" s="184"/>
      <c r="F695" s="184"/>
      <c r="G695" s="184"/>
      <c r="H695" s="184"/>
      <c r="I695" s="184"/>
      <c r="J695" s="184"/>
      <c r="K695" s="184"/>
    </row>
    <row r="696" spans="1:11" ht="12.75">
      <c r="A696" s="184"/>
      <c r="B696" s="184"/>
      <c r="C696" s="184"/>
      <c r="D696" s="184"/>
      <c r="E696" s="184"/>
      <c r="F696" s="184"/>
      <c r="G696" s="184"/>
      <c r="H696" s="184"/>
      <c r="I696" s="184"/>
      <c r="J696" s="184"/>
      <c r="K696" s="184"/>
    </row>
    <row r="697" spans="1:11" ht="12.75">
      <c r="A697" s="184"/>
      <c r="B697" s="184"/>
      <c r="C697" s="184"/>
      <c r="D697" s="184"/>
      <c r="E697" s="184"/>
      <c r="F697" s="184"/>
      <c r="G697" s="184"/>
      <c r="H697" s="184"/>
      <c r="I697" s="184"/>
      <c r="J697" s="184"/>
      <c r="K697" s="184"/>
    </row>
    <row r="698" spans="1:11" ht="12.75">
      <c r="A698" s="184"/>
      <c r="B698" s="184"/>
      <c r="C698" s="184"/>
      <c r="D698" s="184"/>
      <c r="E698" s="184"/>
      <c r="F698" s="184"/>
      <c r="G698" s="184"/>
      <c r="H698" s="184"/>
      <c r="I698" s="184"/>
      <c r="J698" s="184"/>
      <c r="K698" s="184"/>
    </row>
    <row r="699" spans="1:11" ht="12.75">
      <c r="A699" s="184"/>
      <c r="B699" s="184"/>
      <c r="C699" s="184"/>
      <c r="D699" s="184"/>
      <c r="E699" s="184"/>
      <c r="F699" s="184"/>
      <c r="G699" s="184"/>
      <c r="H699" s="184"/>
      <c r="I699" s="184"/>
      <c r="J699" s="184"/>
      <c r="K699" s="184"/>
    </row>
    <row r="700" spans="1:11" ht="12.75">
      <c r="A700" s="184"/>
      <c r="B700" s="184"/>
      <c r="C700" s="184"/>
      <c r="D700" s="184"/>
      <c r="E700" s="184"/>
      <c r="F700" s="184"/>
      <c r="G700" s="184"/>
      <c r="H700" s="184"/>
      <c r="I700" s="184"/>
      <c r="J700" s="184"/>
      <c r="K700" s="184"/>
    </row>
  </sheetData>
  <sheetProtection/>
  <printOptions/>
  <pageMargins left="0.748031496062992" right="0.354330708661417" top="0.66" bottom="0.39" header="0.33" footer="0.18"/>
  <pageSetup fitToHeight="100" fitToWidth="1" horizontalDpi="600" verticalDpi="600" orientation="landscape" paperSize="9" scale="94" r:id="rId1"/>
  <headerFooter alignWithMargins="0">
    <oddFooter>&amp;C&amp;P</oddFooter>
  </headerFooter>
  <rowBreaks count="4" manualBreakCount="4">
    <brk id="58" max="255" man="1"/>
    <brk id="88" max="255" man="1"/>
    <brk id="160" max="255" man="1"/>
    <brk id="197" max="255" man="1"/>
  </rowBreaks>
  <colBreaks count="2" manualBreakCount="2">
    <brk id="11" max="65535" man="1"/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W115"/>
  <sheetViews>
    <sheetView zoomScalePageLayoutView="0" workbookViewId="0" topLeftCell="C1">
      <selection activeCell="P16" sqref="P16"/>
    </sheetView>
  </sheetViews>
  <sheetFormatPr defaultColWidth="9.140625" defaultRowHeight="12.75"/>
  <cols>
    <col min="2" max="2" width="26.140625" style="0" customWidth="1"/>
    <col min="3" max="3" width="10.140625" style="0" bestFit="1" customWidth="1"/>
    <col min="4" max="4" width="10.00390625" style="0" customWidth="1"/>
    <col min="8" max="8" width="10.140625" style="0" bestFit="1" customWidth="1"/>
    <col min="9" max="9" width="29.8515625" style="0" customWidth="1"/>
    <col min="10" max="10" width="10.7109375" style="0" customWidth="1"/>
    <col min="16" max="16" width="28.140625" style="0" customWidth="1"/>
    <col min="17" max="17" width="14.28125" style="0" customWidth="1"/>
  </cols>
  <sheetData>
    <row r="2" spans="2:21" ht="12.75">
      <c r="B2" s="2" t="s">
        <v>343</v>
      </c>
      <c r="C2" s="2"/>
      <c r="D2" s="2"/>
      <c r="E2" s="2"/>
      <c r="F2" s="2"/>
      <c r="G2" s="2"/>
      <c r="I2" s="2" t="s">
        <v>344</v>
      </c>
      <c r="J2" s="2"/>
      <c r="K2" s="2"/>
      <c r="L2" s="2"/>
      <c r="M2" s="2"/>
      <c r="N2" s="2"/>
      <c r="P2" s="2" t="s">
        <v>345</v>
      </c>
      <c r="Q2" s="2"/>
      <c r="R2" s="2"/>
      <c r="S2" s="2"/>
      <c r="T2" s="2"/>
      <c r="U2" s="2"/>
    </row>
    <row r="3" spans="2:21" ht="12.75">
      <c r="B3" s="2"/>
      <c r="C3" s="2"/>
      <c r="D3" s="2"/>
      <c r="E3" s="2"/>
      <c r="F3" s="2"/>
      <c r="G3" s="2"/>
      <c r="I3" s="2"/>
      <c r="J3" s="2"/>
      <c r="K3" s="2"/>
      <c r="L3" s="2"/>
      <c r="M3" s="2"/>
      <c r="N3" s="2"/>
      <c r="P3" s="2"/>
      <c r="Q3" s="2"/>
      <c r="R3" s="2"/>
      <c r="S3" s="2"/>
      <c r="T3" s="2"/>
      <c r="U3" s="2"/>
    </row>
    <row r="4" spans="2:21" ht="12.75">
      <c r="B4" s="2"/>
      <c r="C4" s="2"/>
      <c r="D4" s="2"/>
      <c r="E4" s="2"/>
      <c r="F4" s="2"/>
      <c r="G4" s="2">
        <f>C13+113</f>
        <v>2084</v>
      </c>
      <c r="I4" s="2"/>
      <c r="J4" s="2"/>
      <c r="K4" s="2"/>
      <c r="L4" s="2"/>
      <c r="M4" s="2"/>
      <c r="N4" s="2"/>
      <c r="P4" s="2"/>
      <c r="Q4" s="2"/>
      <c r="R4" s="2"/>
      <c r="S4" s="2"/>
      <c r="T4" s="2"/>
      <c r="U4" s="2"/>
    </row>
    <row r="5" spans="2:21" ht="12.75">
      <c r="B5" s="2"/>
      <c r="C5" s="2"/>
      <c r="D5" s="2"/>
      <c r="E5" s="2"/>
      <c r="F5" s="2"/>
      <c r="G5" s="2"/>
      <c r="I5" s="2"/>
      <c r="J5" s="2"/>
      <c r="K5" s="2"/>
      <c r="L5" s="2"/>
      <c r="M5" s="2"/>
      <c r="N5" s="2"/>
      <c r="P5" s="2"/>
      <c r="Q5" s="2"/>
      <c r="R5" s="2"/>
      <c r="S5" s="2"/>
      <c r="T5" s="2"/>
      <c r="U5" s="2"/>
    </row>
    <row r="6" spans="2:21" ht="12.75">
      <c r="B6" s="2"/>
      <c r="C6" s="2"/>
      <c r="D6" s="2"/>
      <c r="E6" s="2"/>
      <c r="F6" s="2"/>
      <c r="G6" s="2"/>
      <c r="I6" s="2"/>
      <c r="J6" s="2"/>
      <c r="K6" s="2"/>
      <c r="L6" s="2"/>
      <c r="M6" s="2"/>
      <c r="N6" s="2"/>
      <c r="P6" s="2"/>
      <c r="Q6" s="2"/>
      <c r="R6" s="2"/>
      <c r="S6" s="2"/>
      <c r="T6" s="2"/>
      <c r="U6" s="2"/>
    </row>
    <row r="7" spans="2:21" ht="12.75">
      <c r="B7" s="85" t="s">
        <v>332</v>
      </c>
      <c r="C7" s="85" t="s">
        <v>333</v>
      </c>
      <c r="D7" s="85" t="s">
        <v>334</v>
      </c>
      <c r="E7" s="85" t="s">
        <v>335</v>
      </c>
      <c r="F7" s="85" t="s">
        <v>336</v>
      </c>
      <c r="G7" s="85" t="s">
        <v>337</v>
      </c>
      <c r="I7" s="85" t="s">
        <v>332</v>
      </c>
      <c r="J7" s="85" t="s">
        <v>333</v>
      </c>
      <c r="K7" s="85" t="s">
        <v>334</v>
      </c>
      <c r="L7" s="85" t="s">
        <v>335</v>
      </c>
      <c r="M7" s="85" t="s">
        <v>336</v>
      </c>
      <c r="N7" s="85" t="s">
        <v>337</v>
      </c>
      <c r="P7" s="85" t="s">
        <v>332</v>
      </c>
      <c r="Q7" s="85" t="s">
        <v>333</v>
      </c>
      <c r="R7" s="85" t="s">
        <v>334</v>
      </c>
      <c r="S7" s="85" t="s">
        <v>335</v>
      </c>
      <c r="T7" s="85" t="s">
        <v>336</v>
      </c>
      <c r="U7" s="85" t="s">
        <v>337</v>
      </c>
    </row>
    <row r="8" spans="2:21" ht="12.75">
      <c r="B8" s="111"/>
      <c r="C8" s="111"/>
      <c r="D8" s="111"/>
      <c r="E8" s="111"/>
      <c r="F8" s="111"/>
      <c r="G8" s="111"/>
      <c r="I8" s="111"/>
      <c r="J8" s="111"/>
      <c r="K8" s="111"/>
      <c r="L8" s="111"/>
      <c r="M8" s="111"/>
      <c r="N8" s="111"/>
      <c r="P8" s="111"/>
      <c r="Q8" s="111"/>
      <c r="R8" s="111"/>
      <c r="S8" s="111"/>
      <c r="T8" s="111"/>
      <c r="U8" s="111"/>
    </row>
    <row r="9" spans="2:21" ht="12.75">
      <c r="B9" s="85" t="s">
        <v>322</v>
      </c>
      <c r="C9" s="111"/>
      <c r="D9" s="111"/>
      <c r="E9" s="111"/>
      <c r="F9" s="111"/>
      <c r="G9" s="111"/>
      <c r="I9" s="85" t="s">
        <v>322</v>
      </c>
      <c r="J9" s="111"/>
      <c r="K9" s="111"/>
      <c r="L9" s="111"/>
      <c r="M9" s="111"/>
      <c r="N9" s="111"/>
      <c r="P9" s="85" t="s">
        <v>322</v>
      </c>
      <c r="Q9" s="111"/>
      <c r="R9" s="111"/>
      <c r="S9" s="111"/>
      <c r="T9" s="111"/>
      <c r="U9" s="111"/>
    </row>
    <row r="10" spans="2:21" ht="12.75">
      <c r="B10" s="111" t="s">
        <v>323</v>
      </c>
      <c r="C10" s="111">
        <f aca="true" t="shared" si="0" ref="C10:C15">D10+E10+F10+G10</f>
        <v>68844.08</v>
      </c>
      <c r="D10" s="111">
        <v>18160.63</v>
      </c>
      <c r="E10" s="111">
        <v>18152.03</v>
      </c>
      <c r="F10" s="111">
        <v>21692.36</v>
      </c>
      <c r="G10" s="111">
        <v>10839.06</v>
      </c>
      <c r="I10" s="111" t="s">
        <v>323</v>
      </c>
      <c r="J10" s="111">
        <f aca="true" t="shared" si="1" ref="J10:J15">K10+L10+M10+N10</f>
        <v>40169.5</v>
      </c>
      <c r="K10" s="111">
        <f>D10-R10</f>
        <v>18160.63</v>
      </c>
      <c r="L10" s="111">
        <f aca="true" t="shared" si="2" ref="L10:N14">E10-S10</f>
        <v>18152.03</v>
      </c>
      <c r="M10" s="111">
        <f t="shared" si="2"/>
        <v>3856.84</v>
      </c>
      <c r="N10" s="111">
        <f t="shared" si="2"/>
        <v>0</v>
      </c>
      <c r="P10" s="111" t="s">
        <v>323</v>
      </c>
      <c r="Q10" s="111">
        <f aca="true" t="shared" si="3" ref="Q10:Q15">R10+S10+T10+U10</f>
        <v>28674.58</v>
      </c>
      <c r="R10" s="111">
        <v>0</v>
      </c>
      <c r="S10" s="111">
        <v>0</v>
      </c>
      <c r="T10" s="111">
        <f>21692.36-3856.84</f>
        <v>17835.52</v>
      </c>
      <c r="U10" s="111">
        <v>10839.06</v>
      </c>
    </row>
    <row r="11" spans="2:21" ht="12.75">
      <c r="B11" s="111" t="s">
        <v>324</v>
      </c>
      <c r="C11" s="111">
        <f t="shared" si="0"/>
        <v>8159</v>
      </c>
      <c r="D11" s="111">
        <v>187.89</v>
      </c>
      <c r="E11" s="111">
        <v>0</v>
      </c>
      <c r="F11" s="111">
        <f>2123.75+2331.55+1870.36-187.89</f>
        <v>6137.7699999999995</v>
      </c>
      <c r="G11" s="111">
        <v>1833.34</v>
      </c>
      <c r="I11" s="111" t="s">
        <v>324</v>
      </c>
      <c r="J11" s="111">
        <f t="shared" si="1"/>
        <v>187.89</v>
      </c>
      <c r="K11" s="111">
        <f>D11-R11</f>
        <v>187.89</v>
      </c>
      <c r="L11" s="111">
        <f t="shared" si="2"/>
        <v>0</v>
      </c>
      <c r="M11" s="111">
        <f t="shared" si="2"/>
        <v>0</v>
      </c>
      <c r="N11" s="111">
        <f t="shared" si="2"/>
        <v>0</v>
      </c>
      <c r="P11" s="111" t="s">
        <v>324</v>
      </c>
      <c r="Q11" s="111">
        <f t="shared" si="3"/>
        <v>7971.110000000001</v>
      </c>
      <c r="R11" s="111">
        <v>0</v>
      </c>
      <c r="S11" s="111">
        <v>0</v>
      </c>
      <c r="T11" s="111">
        <f>2123.75+2331.55+1682.47</f>
        <v>6137.77</v>
      </c>
      <c r="U11" s="111">
        <v>1833.34</v>
      </c>
    </row>
    <row r="12" spans="2:21" ht="12.75">
      <c r="B12" s="111" t="s">
        <v>325</v>
      </c>
      <c r="C12" s="111">
        <f t="shared" si="0"/>
        <v>294.53000000000003</v>
      </c>
      <c r="D12" s="111">
        <v>100.54</v>
      </c>
      <c r="E12" s="111">
        <v>73.63</v>
      </c>
      <c r="F12" s="111">
        <v>73.63</v>
      </c>
      <c r="G12" s="111">
        <v>46.73</v>
      </c>
      <c r="I12" s="111" t="s">
        <v>325</v>
      </c>
      <c r="J12" s="111">
        <f t="shared" si="1"/>
        <v>174.17000000000002</v>
      </c>
      <c r="K12" s="111">
        <f>D12-R12</f>
        <v>100.54</v>
      </c>
      <c r="L12" s="111">
        <f t="shared" si="2"/>
        <v>73.63</v>
      </c>
      <c r="M12" s="111">
        <f t="shared" si="2"/>
        <v>0</v>
      </c>
      <c r="N12" s="111">
        <f t="shared" si="2"/>
        <v>0</v>
      </c>
      <c r="P12" s="111" t="s">
        <v>325</v>
      </c>
      <c r="Q12" s="111">
        <f t="shared" si="3"/>
        <v>120.35999999999999</v>
      </c>
      <c r="R12" s="111"/>
      <c r="S12" s="111"/>
      <c r="T12" s="111">
        <v>73.63</v>
      </c>
      <c r="U12" s="111">
        <v>46.73</v>
      </c>
    </row>
    <row r="13" spans="2:21" ht="12.75">
      <c r="B13" s="111" t="s">
        <v>326</v>
      </c>
      <c r="C13" s="111">
        <f t="shared" si="0"/>
        <v>1971</v>
      </c>
      <c r="D13" s="111">
        <v>472</v>
      </c>
      <c r="E13" s="111">
        <v>499</v>
      </c>
      <c r="F13" s="111">
        <v>500</v>
      </c>
      <c r="G13" s="111">
        <v>500</v>
      </c>
      <c r="H13">
        <f>C13-G13</f>
        <v>1471</v>
      </c>
      <c r="I13" s="111" t="s">
        <v>326</v>
      </c>
      <c r="J13" s="111">
        <f t="shared" si="1"/>
        <v>971</v>
      </c>
      <c r="K13" s="111">
        <f>D13-R13</f>
        <v>472</v>
      </c>
      <c r="L13" s="111">
        <f t="shared" si="2"/>
        <v>499</v>
      </c>
      <c r="M13" s="111">
        <f t="shared" si="2"/>
        <v>0</v>
      </c>
      <c r="N13" s="111">
        <f t="shared" si="2"/>
        <v>0</v>
      </c>
      <c r="P13" s="111" t="s">
        <v>326</v>
      </c>
      <c r="Q13" s="111">
        <f t="shared" si="3"/>
        <v>1000</v>
      </c>
      <c r="R13" s="111"/>
      <c r="S13" s="111"/>
      <c r="T13" s="111">
        <v>500</v>
      </c>
      <c r="U13" s="111">
        <v>500</v>
      </c>
    </row>
    <row r="14" spans="2:21" ht="12.75">
      <c r="B14" s="111" t="s">
        <v>327</v>
      </c>
      <c r="C14" s="111">
        <f t="shared" si="0"/>
        <v>3697.6</v>
      </c>
      <c r="D14" s="111">
        <v>3697.6</v>
      </c>
      <c r="E14" s="111">
        <v>0</v>
      </c>
      <c r="F14" s="111">
        <v>0</v>
      </c>
      <c r="G14" s="111">
        <v>0</v>
      </c>
      <c r="H14">
        <f>1584-1471</f>
        <v>113</v>
      </c>
      <c r="I14" s="111" t="s">
        <v>327</v>
      </c>
      <c r="J14" s="111">
        <f t="shared" si="1"/>
        <v>3697.6</v>
      </c>
      <c r="K14" s="111">
        <f>D14-R14</f>
        <v>3697.6</v>
      </c>
      <c r="L14" s="111">
        <f t="shared" si="2"/>
        <v>0</v>
      </c>
      <c r="M14" s="111">
        <f t="shared" si="2"/>
        <v>0</v>
      </c>
      <c r="N14" s="111">
        <f t="shared" si="2"/>
        <v>0</v>
      </c>
      <c r="P14" s="111" t="s">
        <v>327</v>
      </c>
      <c r="Q14" s="111">
        <f t="shared" si="3"/>
        <v>0</v>
      </c>
      <c r="R14" s="111"/>
      <c r="S14" s="111"/>
      <c r="T14" s="111">
        <v>0</v>
      </c>
      <c r="U14" s="111">
        <v>0</v>
      </c>
    </row>
    <row r="15" spans="2:22" ht="12.75">
      <c r="B15" s="85" t="s">
        <v>328</v>
      </c>
      <c r="C15" s="85">
        <f t="shared" si="0"/>
        <v>82966.21</v>
      </c>
      <c r="D15" s="85">
        <f>D10+D11+D12+D13+D14</f>
        <v>22618.66</v>
      </c>
      <c r="E15" s="85">
        <f>E10+E11+E12+E13+E14</f>
        <v>18724.66</v>
      </c>
      <c r="F15" s="85">
        <f>F10+F11+F12+F13+F14</f>
        <v>28403.760000000002</v>
      </c>
      <c r="G15" s="85">
        <f>G10+G11+G12+G13+G14</f>
        <v>13219.13</v>
      </c>
      <c r="H15" s="301">
        <f>77+73</f>
        <v>150</v>
      </c>
      <c r="I15" s="85" t="s">
        <v>328</v>
      </c>
      <c r="J15" s="85">
        <f t="shared" si="1"/>
        <v>45200.16</v>
      </c>
      <c r="K15" s="85">
        <f>K10+K11+K12+K13+K14</f>
        <v>22618.66</v>
      </c>
      <c r="L15" s="85">
        <f>L10+L11+L12+L13+L14</f>
        <v>18724.66</v>
      </c>
      <c r="M15" s="85">
        <f>M10+M11+M12+M13+M14</f>
        <v>3856.84</v>
      </c>
      <c r="N15" s="85">
        <f>N10+N11+N12+N13+N14</f>
        <v>0</v>
      </c>
      <c r="P15" s="85" t="s">
        <v>328</v>
      </c>
      <c r="Q15" s="85">
        <f t="shared" si="3"/>
        <v>37766.05</v>
      </c>
      <c r="R15" s="85">
        <f>R10+R11+R12+R13+R14</f>
        <v>0</v>
      </c>
      <c r="S15" s="85">
        <f>S10+S11+S12+S13+S14</f>
        <v>0</v>
      </c>
      <c r="T15" s="85">
        <f>T10+T11+T12+T13+T14</f>
        <v>24546.920000000002</v>
      </c>
      <c r="U15" s="85">
        <f>U10+U11+U12+U13+U14</f>
        <v>13219.13</v>
      </c>
      <c r="V15" s="301">
        <f>T15+U15-Q15</f>
        <v>0</v>
      </c>
    </row>
    <row r="16" spans="2:21" ht="12.75">
      <c r="B16" s="111"/>
      <c r="C16" s="111"/>
      <c r="D16" s="111"/>
      <c r="E16" s="111"/>
      <c r="F16" s="111"/>
      <c r="G16" s="111"/>
      <c r="I16" s="111"/>
      <c r="J16" s="111"/>
      <c r="K16" s="111"/>
      <c r="L16" s="111"/>
      <c r="M16" s="111"/>
      <c r="N16" s="111"/>
      <c r="P16" s="111"/>
      <c r="Q16" s="111"/>
      <c r="R16" s="111"/>
      <c r="S16" s="111"/>
      <c r="T16" s="111"/>
      <c r="U16" s="111"/>
    </row>
    <row r="17" spans="2:21" ht="12.75">
      <c r="B17" s="85" t="s">
        <v>330</v>
      </c>
      <c r="C17" s="85"/>
      <c r="D17" s="85"/>
      <c r="E17" s="85"/>
      <c r="F17" s="85"/>
      <c r="G17" s="85"/>
      <c r="I17" s="85" t="s">
        <v>330</v>
      </c>
      <c r="J17" s="85"/>
      <c r="K17" s="85"/>
      <c r="L17" s="85"/>
      <c r="M17" s="85"/>
      <c r="N17" s="85"/>
      <c r="P17" s="85" t="s">
        <v>330</v>
      </c>
      <c r="Q17" s="85"/>
      <c r="R17" s="85"/>
      <c r="S17" s="85"/>
      <c r="T17" s="85"/>
      <c r="U17" s="85"/>
    </row>
    <row r="18" spans="2:21" ht="12.75">
      <c r="B18" s="78" t="s">
        <v>49</v>
      </c>
      <c r="C18" s="199">
        <f aca="true" t="shared" si="4" ref="C18:C23">D18+E18+F18+G18</f>
        <v>220</v>
      </c>
      <c r="D18" s="109">
        <v>60</v>
      </c>
      <c r="E18" s="109">
        <v>56.48</v>
      </c>
      <c r="F18" s="109">
        <v>53.52</v>
      </c>
      <c r="G18" s="109">
        <v>50</v>
      </c>
      <c r="I18" s="78" t="s">
        <v>49</v>
      </c>
      <c r="J18" s="199">
        <f aca="true" t="shared" si="5" ref="J18:J23">K18+L18+M18+N18</f>
        <v>116.47999999999999</v>
      </c>
      <c r="K18" s="109">
        <f aca="true" t="shared" si="6" ref="K18:N22">D18-R18</f>
        <v>60</v>
      </c>
      <c r="L18" s="109">
        <f t="shared" si="6"/>
        <v>56.48</v>
      </c>
      <c r="M18" s="109">
        <f t="shared" si="6"/>
        <v>0</v>
      </c>
      <c r="N18" s="109">
        <f t="shared" si="6"/>
        <v>0</v>
      </c>
      <c r="P18" s="78" t="s">
        <v>49</v>
      </c>
      <c r="Q18" s="199">
        <f aca="true" t="shared" si="7" ref="Q18:Q23">R18+S18+T18+U18</f>
        <v>103.52000000000001</v>
      </c>
      <c r="R18" s="109"/>
      <c r="S18" s="109"/>
      <c r="T18" s="109">
        <v>53.52</v>
      </c>
      <c r="U18" s="109">
        <v>50</v>
      </c>
    </row>
    <row r="19" spans="2:21" ht="12.75">
      <c r="B19" s="66" t="s">
        <v>66</v>
      </c>
      <c r="C19" s="199">
        <f t="shared" si="4"/>
        <v>3500</v>
      </c>
      <c r="D19" s="109">
        <v>951.2</v>
      </c>
      <c r="E19" s="109">
        <v>1548.8</v>
      </c>
      <c r="F19" s="109">
        <v>594.3</v>
      </c>
      <c r="G19" s="109">
        <v>405.7</v>
      </c>
      <c r="I19" s="66" t="s">
        <v>66</v>
      </c>
      <c r="J19" s="199">
        <f t="shared" si="5"/>
        <v>2880</v>
      </c>
      <c r="K19" s="109">
        <f t="shared" si="6"/>
        <v>951.2</v>
      </c>
      <c r="L19" s="109">
        <f t="shared" si="6"/>
        <v>1548.8</v>
      </c>
      <c r="M19" s="109">
        <f t="shared" si="6"/>
        <v>379.99999999999994</v>
      </c>
      <c r="N19" s="109">
        <f t="shared" si="6"/>
        <v>0</v>
      </c>
      <c r="P19" s="66" t="s">
        <v>66</v>
      </c>
      <c r="Q19" s="199">
        <f t="shared" si="7"/>
        <v>620</v>
      </c>
      <c r="R19" s="109"/>
      <c r="S19" s="109"/>
      <c r="T19" s="109">
        <v>214.3</v>
      </c>
      <c r="U19" s="109">
        <v>405.7</v>
      </c>
    </row>
    <row r="20" spans="2:21" ht="47.25" customHeight="1">
      <c r="B20" s="97" t="s">
        <v>70</v>
      </c>
      <c r="C20" s="199">
        <f t="shared" si="4"/>
        <v>16</v>
      </c>
      <c r="D20" s="109">
        <v>4</v>
      </c>
      <c r="E20" s="109">
        <v>5</v>
      </c>
      <c r="F20" s="109">
        <v>4</v>
      </c>
      <c r="G20" s="109">
        <v>3</v>
      </c>
      <c r="I20" s="97" t="s">
        <v>70</v>
      </c>
      <c r="J20" s="199">
        <f t="shared" si="5"/>
        <v>11</v>
      </c>
      <c r="K20" s="109">
        <f t="shared" si="6"/>
        <v>4</v>
      </c>
      <c r="L20" s="109">
        <f t="shared" si="6"/>
        <v>5</v>
      </c>
      <c r="M20" s="109">
        <f t="shared" si="6"/>
        <v>2</v>
      </c>
      <c r="N20" s="109">
        <f t="shared" si="6"/>
        <v>0</v>
      </c>
      <c r="P20" s="97" t="s">
        <v>70</v>
      </c>
      <c r="Q20" s="199">
        <f t="shared" si="7"/>
        <v>5</v>
      </c>
      <c r="R20" s="109"/>
      <c r="S20" s="109"/>
      <c r="T20" s="109">
        <v>2</v>
      </c>
      <c r="U20" s="109">
        <v>3</v>
      </c>
    </row>
    <row r="21" spans="2:21" ht="12.75">
      <c r="B21" s="66" t="s">
        <v>73</v>
      </c>
      <c r="C21" s="199">
        <f t="shared" si="4"/>
        <v>2500</v>
      </c>
      <c r="D21" s="109">
        <v>765.9</v>
      </c>
      <c r="E21" s="109">
        <v>634.1</v>
      </c>
      <c r="F21" s="109">
        <v>700</v>
      </c>
      <c r="G21" s="109">
        <v>400</v>
      </c>
      <c r="I21" s="66" t="s">
        <v>73</v>
      </c>
      <c r="J21" s="199">
        <f t="shared" si="5"/>
        <v>1800</v>
      </c>
      <c r="K21" s="109">
        <f t="shared" si="6"/>
        <v>765.9</v>
      </c>
      <c r="L21" s="109">
        <f t="shared" si="6"/>
        <v>634.1</v>
      </c>
      <c r="M21" s="109">
        <f t="shared" si="6"/>
        <v>400</v>
      </c>
      <c r="N21" s="109">
        <f t="shared" si="6"/>
        <v>0</v>
      </c>
      <c r="P21" s="66" t="s">
        <v>73</v>
      </c>
      <c r="Q21" s="199">
        <f t="shared" si="7"/>
        <v>700</v>
      </c>
      <c r="R21" s="109"/>
      <c r="S21" s="109"/>
      <c r="T21" s="109">
        <v>300</v>
      </c>
      <c r="U21" s="109">
        <v>400</v>
      </c>
    </row>
    <row r="22" spans="2:21" ht="12.75">
      <c r="B22" s="66" t="s">
        <v>339</v>
      </c>
      <c r="C22" s="199">
        <f t="shared" si="4"/>
        <v>30</v>
      </c>
      <c r="D22" s="109">
        <v>3.37</v>
      </c>
      <c r="E22" s="109">
        <v>8.63</v>
      </c>
      <c r="F22" s="109">
        <v>8.37</v>
      </c>
      <c r="G22" s="109">
        <v>9.63</v>
      </c>
      <c r="I22" s="66" t="s">
        <v>339</v>
      </c>
      <c r="J22" s="199">
        <f t="shared" si="5"/>
        <v>16.2</v>
      </c>
      <c r="K22" s="109">
        <f t="shared" si="6"/>
        <v>3.37</v>
      </c>
      <c r="L22" s="109">
        <f t="shared" si="6"/>
        <v>8.63</v>
      </c>
      <c r="M22" s="109">
        <f t="shared" si="6"/>
        <v>4.199999999999999</v>
      </c>
      <c r="N22" s="109">
        <f t="shared" si="6"/>
        <v>0</v>
      </c>
      <c r="P22" s="66" t="s">
        <v>339</v>
      </c>
      <c r="Q22" s="199">
        <f t="shared" si="7"/>
        <v>13.8</v>
      </c>
      <c r="R22" s="109"/>
      <c r="S22" s="109"/>
      <c r="T22" s="109">
        <v>4.17</v>
      </c>
      <c r="U22" s="109">
        <v>9.63</v>
      </c>
    </row>
    <row r="23" spans="2:21" ht="12.75">
      <c r="B23" s="85" t="s">
        <v>340</v>
      </c>
      <c r="C23" s="49">
        <f t="shared" si="4"/>
        <v>6266</v>
      </c>
      <c r="D23" s="198">
        <f>D18+D19+D20+D21+D22</f>
        <v>1784.4699999999998</v>
      </c>
      <c r="E23" s="198">
        <f>E18+E19+E20+E21+E22</f>
        <v>2253.01</v>
      </c>
      <c r="F23" s="198">
        <f>F18+F19+F20+F21+F22</f>
        <v>1360.1899999999998</v>
      </c>
      <c r="G23" s="198">
        <f>G18+G19+G20+G21+G22</f>
        <v>868.33</v>
      </c>
      <c r="I23" s="85" t="s">
        <v>340</v>
      </c>
      <c r="J23" s="49">
        <f t="shared" si="5"/>
        <v>4823.68</v>
      </c>
      <c r="K23" s="198">
        <f>K18+K19+K20+K21+K22</f>
        <v>1784.4699999999998</v>
      </c>
      <c r="L23" s="198">
        <f>L18+L19+L20+L21+L22</f>
        <v>2253.01</v>
      </c>
      <c r="M23" s="198">
        <f>M18+M19+M20+M21+M22</f>
        <v>786.2</v>
      </c>
      <c r="N23" s="198">
        <f>N18+N19+N20+N21+N22</f>
        <v>0</v>
      </c>
      <c r="P23" s="85" t="s">
        <v>340</v>
      </c>
      <c r="Q23" s="49">
        <f t="shared" si="7"/>
        <v>1442.32</v>
      </c>
      <c r="R23" s="198">
        <f>R18+R19+R20+R21+R22</f>
        <v>0</v>
      </c>
      <c r="S23" s="198">
        <f>S18+S19+S20+S21+S22</f>
        <v>0</v>
      </c>
      <c r="T23" s="198">
        <f>T18+T19+T20+T21+T22</f>
        <v>573.9899999999999</v>
      </c>
      <c r="U23" s="198">
        <f>U18+U19+U20+U21+U22</f>
        <v>868.33</v>
      </c>
    </row>
    <row r="24" spans="2:21" ht="12.75">
      <c r="B24" s="85" t="s">
        <v>341</v>
      </c>
      <c r="C24" s="49">
        <f>C15+C23</f>
        <v>89232.21</v>
      </c>
      <c r="D24" s="49">
        <f>D15+D23</f>
        <v>24403.13</v>
      </c>
      <c r="E24" s="49">
        <f>E15+E23</f>
        <v>20977.67</v>
      </c>
      <c r="F24" s="49">
        <f>F15+F23</f>
        <v>29763.95</v>
      </c>
      <c r="G24" s="49">
        <f>G15+G23</f>
        <v>14087.46</v>
      </c>
      <c r="I24" s="85" t="s">
        <v>341</v>
      </c>
      <c r="J24" s="49">
        <f>J15+J23</f>
        <v>50023.840000000004</v>
      </c>
      <c r="K24" s="49">
        <f>K15+K23</f>
        <v>24403.13</v>
      </c>
      <c r="L24" s="49">
        <f>L15+L23</f>
        <v>20977.67</v>
      </c>
      <c r="M24" s="49">
        <f>M15+M23</f>
        <v>4643.04</v>
      </c>
      <c r="N24" s="49">
        <f>N15+N23</f>
        <v>0</v>
      </c>
      <c r="P24" s="85" t="s">
        <v>341</v>
      </c>
      <c r="Q24" s="49">
        <f>Q15+Q23</f>
        <v>39208.37</v>
      </c>
      <c r="R24" s="49">
        <f>R15+R23</f>
        <v>0</v>
      </c>
      <c r="S24" s="49">
        <f>S15+S23</f>
        <v>0</v>
      </c>
      <c r="T24" s="49">
        <f>T15+T23</f>
        <v>25120.910000000003</v>
      </c>
      <c r="U24" s="49">
        <f>U15+U23</f>
        <v>14087.46</v>
      </c>
    </row>
    <row r="25" spans="2:21" ht="12.75">
      <c r="B25" s="85"/>
      <c r="C25" s="49"/>
      <c r="D25" s="49"/>
      <c r="E25" s="49"/>
      <c r="F25" s="49"/>
      <c r="G25" s="49"/>
      <c r="I25" s="85"/>
      <c r="J25" s="49"/>
      <c r="K25" s="49"/>
      <c r="L25" s="49"/>
      <c r="M25" s="49"/>
      <c r="N25" s="49"/>
      <c r="P25" s="85"/>
      <c r="Q25" s="49"/>
      <c r="R25" s="49"/>
      <c r="S25" s="49"/>
      <c r="T25" s="49"/>
      <c r="U25" s="49"/>
    </row>
    <row r="26" spans="2:21" ht="12.75">
      <c r="B26" s="85" t="s">
        <v>331</v>
      </c>
      <c r="C26" s="85">
        <f>D26+E26+F26+G26</f>
        <v>13750</v>
      </c>
      <c r="D26" s="85">
        <v>2683.47</v>
      </c>
      <c r="E26" s="85">
        <v>0</v>
      </c>
      <c r="F26" s="85">
        <v>10516.53</v>
      </c>
      <c r="G26" s="85">
        <v>550</v>
      </c>
      <c r="I26" s="85" t="s">
        <v>331</v>
      </c>
      <c r="J26" s="85">
        <f>K26+L26+M26+N26</f>
        <v>2683.47</v>
      </c>
      <c r="K26" s="85">
        <f>D26-R26</f>
        <v>2683.47</v>
      </c>
      <c r="L26" s="85">
        <f>E26-S26</f>
        <v>0</v>
      </c>
      <c r="M26" s="85">
        <f>F26-T26</f>
        <v>0</v>
      </c>
      <c r="N26" s="85">
        <f>G26-U26</f>
        <v>0</v>
      </c>
      <c r="P26" s="85" t="s">
        <v>331</v>
      </c>
      <c r="Q26" s="85">
        <f>R26+S26+T26+U26</f>
        <v>11066.53</v>
      </c>
      <c r="R26" s="85">
        <v>0</v>
      </c>
      <c r="S26" s="85">
        <v>0</v>
      </c>
      <c r="T26" s="2">
        <v>10516.53</v>
      </c>
      <c r="U26" s="85">
        <v>550</v>
      </c>
    </row>
    <row r="27" spans="2:21" ht="12.75">
      <c r="B27" s="85" t="s">
        <v>329</v>
      </c>
      <c r="C27" s="85">
        <f>D27+E27+F27+G27</f>
        <v>4585.22</v>
      </c>
      <c r="D27" s="85">
        <v>0</v>
      </c>
      <c r="E27" s="85">
        <v>0</v>
      </c>
      <c r="F27" s="85">
        <v>0</v>
      </c>
      <c r="G27" s="85">
        <v>4585.22</v>
      </c>
      <c r="I27" s="85" t="s">
        <v>329</v>
      </c>
      <c r="J27" s="85">
        <f>K27+L27+M27+N27</f>
        <v>0</v>
      </c>
      <c r="K27" s="85"/>
      <c r="L27" s="85"/>
      <c r="M27" s="85"/>
      <c r="N27" s="85"/>
      <c r="P27" s="85" t="s">
        <v>329</v>
      </c>
      <c r="Q27" s="85">
        <f>R27+S27+T27+U27</f>
        <v>4585.22</v>
      </c>
      <c r="R27" s="85">
        <v>0</v>
      </c>
      <c r="S27" s="85">
        <v>0</v>
      </c>
      <c r="T27" s="85">
        <v>0</v>
      </c>
      <c r="U27" s="85">
        <v>4585.22</v>
      </c>
    </row>
    <row r="28" spans="2:23" ht="12.75">
      <c r="B28" s="85" t="s">
        <v>338</v>
      </c>
      <c r="C28" s="49">
        <f>C24+C26+C27</f>
        <v>107567.43000000001</v>
      </c>
      <c r="D28" s="49">
        <f>D24+D26+D27</f>
        <v>27086.600000000002</v>
      </c>
      <c r="E28" s="49">
        <f>E24+E26+E27</f>
        <v>20977.67</v>
      </c>
      <c r="F28" s="209">
        <f>F24+F26+F27</f>
        <v>40280.48</v>
      </c>
      <c r="G28" s="49">
        <f>G24+G26+G27</f>
        <v>19222.68</v>
      </c>
      <c r="I28" s="85" t="s">
        <v>338</v>
      </c>
      <c r="J28" s="49">
        <f>J24+J26+J27</f>
        <v>52707.310000000005</v>
      </c>
      <c r="K28" s="49">
        <f>K24+K26+K27</f>
        <v>27086.600000000002</v>
      </c>
      <c r="L28" s="49">
        <f>L24+L26+L27</f>
        <v>20977.67</v>
      </c>
      <c r="M28" s="209">
        <f>M24+M26+M27</f>
        <v>4643.04</v>
      </c>
      <c r="N28" s="49">
        <f>N24+N26+N27</f>
        <v>0</v>
      </c>
      <c r="P28" s="85" t="s">
        <v>338</v>
      </c>
      <c r="Q28" s="49">
        <f>Q24+Q26+Q27</f>
        <v>54860.12</v>
      </c>
      <c r="R28" s="49">
        <f>R24+R26+R27</f>
        <v>0</v>
      </c>
      <c r="S28" s="49">
        <f>S24+S26+S27</f>
        <v>0</v>
      </c>
      <c r="T28" s="209">
        <f>T24+T26+T27</f>
        <v>35637.44</v>
      </c>
      <c r="U28" s="49">
        <f>U24+U26+U27</f>
        <v>19222.68</v>
      </c>
      <c r="W28" s="21"/>
    </row>
    <row r="29" spans="7:23" ht="12.75">
      <c r="G29" s="111"/>
      <c r="H29" s="123"/>
      <c r="I29" s="111"/>
      <c r="N29" s="111"/>
      <c r="U29" s="111"/>
      <c r="W29" s="21"/>
    </row>
    <row r="30" spans="2:23" ht="12.75">
      <c r="B30" s="85" t="s">
        <v>113</v>
      </c>
      <c r="C30" s="50">
        <f aca="true" t="shared" si="8" ref="C30:C47">D30+E30+F30+G30</f>
        <v>26800</v>
      </c>
      <c r="D30" s="49">
        <f>D31</f>
        <v>7538</v>
      </c>
      <c r="E30" s="49">
        <f>E31</f>
        <v>6844</v>
      </c>
      <c r="F30" s="49">
        <f>F31</f>
        <v>6706</v>
      </c>
      <c r="G30" s="49">
        <f>G31</f>
        <v>5712</v>
      </c>
      <c r="H30" s="216"/>
      <c r="I30" s="85" t="s">
        <v>113</v>
      </c>
      <c r="J30" s="223">
        <f aca="true" t="shared" si="9" ref="J30:J47">K30+L30+M30+N30</f>
        <v>18616</v>
      </c>
      <c r="K30" s="49">
        <f>K31</f>
        <v>7538</v>
      </c>
      <c r="L30" s="49">
        <f>L31</f>
        <v>6615</v>
      </c>
      <c r="M30" s="209">
        <f>M31</f>
        <v>4463</v>
      </c>
      <c r="N30" s="49">
        <f>N31</f>
        <v>0</v>
      </c>
      <c r="P30" s="85" t="s">
        <v>113</v>
      </c>
      <c r="Q30" s="50">
        <f aca="true" t="shared" si="10" ref="Q30:Q47">R30+S30+T30+U30</f>
        <v>8184</v>
      </c>
      <c r="R30" s="49">
        <f>R31</f>
        <v>0</v>
      </c>
      <c r="S30" s="49">
        <f>S31</f>
        <v>229</v>
      </c>
      <c r="T30" s="209">
        <f>T31</f>
        <v>2243</v>
      </c>
      <c r="U30" s="49">
        <f>U31</f>
        <v>5712</v>
      </c>
      <c r="W30" s="21"/>
    </row>
    <row r="31" spans="2:21" ht="12.75">
      <c r="B31" s="66" t="s">
        <v>114</v>
      </c>
      <c r="C31" s="50">
        <f t="shared" si="8"/>
        <v>26800</v>
      </c>
      <c r="D31" s="198">
        <f>D32+D33+D34+D35+D36+D37</f>
        <v>7538</v>
      </c>
      <c r="E31" s="198">
        <f>E32+E33+E34+E35+E36+E37</f>
        <v>6844</v>
      </c>
      <c r="F31" s="198">
        <f>F32+F33+F34+F35+F36+F37</f>
        <v>6706</v>
      </c>
      <c r="G31" s="198">
        <f>G32+G33+G34+G35+G36+G37</f>
        <v>5712</v>
      </c>
      <c r="H31" s="216"/>
      <c r="I31" s="66" t="s">
        <v>114</v>
      </c>
      <c r="J31" s="223">
        <f t="shared" si="9"/>
        <v>18616</v>
      </c>
      <c r="K31" s="198">
        <f>K32+K33+K34+K35+K36+K37</f>
        <v>7538</v>
      </c>
      <c r="L31" s="198">
        <f>L32+L33+L34+L35+L36+L37</f>
        <v>6615</v>
      </c>
      <c r="M31" s="210">
        <f>M32+M33+M34+M35+M36+M37</f>
        <v>4463</v>
      </c>
      <c r="N31" s="198">
        <f>N32+N33+N34+N35+N36+N37</f>
        <v>0</v>
      </c>
      <c r="P31" s="66" t="s">
        <v>114</v>
      </c>
      <c r="Q31" s="50">
        <f t="shared" si="10"/>
        <v>8184</v>
      </c>
      <c r="R31" s="198">
        <f>R32+R33+R34+R35+R36+R37</f>
        <v>0</v>
      </c>
      <c r="S31" s="198">
        <f>S32+S33+S34+S35+S36+S37</f>
        <v>229</v>
      </c>
      <c r="T31" s="210">
        <f>T32+T33+T34+T35+T36+T37</f>
        <v>2243</v>
      </c>
      <c r="U31" s="198">
        <f>U32+U33+U34+U35+U36+U37</f>
        <v>5712</v>
      </c>
    </row>
    <row r="32" spans="2:21" ht="12.75">
      <c r="B32" s="66" t="s">
        <v>115</v>
      </c>
      <c r="C32" s="79">
        <f t="shared" si="8"/>
        <v>826</v>
      </c>
      <c r="D32" s="109">
        <v>0</v>
      </c>
      <c r="E32" s="109">
        <v>299</v>
      </c>
      <c r="F32" s="109">
        <v>318</v>
      </c>
      <c r="G32" s="109">
        <v>209</v>
      </c>
      <c r="H32" s="218"/>
      <c r="I32" s="66" t="s">
        <v>115</v>
      </c>
      <c r="J32" s="224">
        <f t="shared" si="9"/>
        <v>258</v>
      </c>
      <c r="K32" s="109">
        <f aca="true" t="shared" si="11" ref="K32:K37">D32-R32</f>
        <v>0</v>
      </c>
      <c r="L32" s="109">
        <f aca="true" t="shared" si="12" ref="L32:N37">E32-S32</f>
        <v>70</v>
      </c>
      <c r="M32" s="109">
        <f t="shared" si="12"/>
        <v>188</v>
      </c>
      <c r="N32" s="109">
        <f t="shared" si="12"/>
        <v>0</v>
      </c>
      <c r="P32" s="66" t="s">
        <v>115</v>
      </c>
      <c r="Q32" s="79">
        <f t="shared" si="10"/>
        <v>568</v>
      </c>
      <c r="R32" s="109">
        <v>0</v>
      </c>
      <c r="S32" s="109">
        <v>229</v>
      </c>
      <c r="T32" s="211">
        <v>130</v>
      </c>
      <c r="U32" s="109">
        <v>209</v>
      </c>
    </row>
    <row r="33" spans="2:21" ht="12.75">
      <c r="B33" s="66" t="s">
        <v>116</v>
      </c>
      <c r="C33" s="79">
        <f t="shared" si="8"/>
        <v>0</v>
      </c>
      <c r="D33" s="109"/>
      <c r="E33" s="109"/>
      <c r="F33" s="109"/>
      <c r="G33" s="109"/>
      <c r="H33" s="218"/>
      <c r="I33" s="66" t="s">
        <v>116</v>
      </c>
      <c r="J33" s="224">
        <f t="shared" si="9"/>
        <v>0</v>
      </c>
      <c r="K33" s="109">
        <f t="shared" si="11"/>
        <v>0</v>
      </c>
      <c r="L33" s="109">
        <f t="shared" si="12"/>
        <v>0</v>
      </c>
      <c r="M33" s="109">
        <f t="shared" si="12"/>
        <v>0</v>
      </c>
      <c r="N33" s="109">
        <f t="shared" si="12"/>
        <v>0</v>
      </c>
      <c r="P33" s="66" t="s">
        <v>116</v>
      </c>
      <c r="Q33" s="79">
        <f t="shared" si="10"/>
        <v>0</v>
      </c>
      <c r="R33" s="109"/>
      <c r="S33" s="109"/>
      <c r="T33" s="211"/>
      <c r="U33" s="109"/>
    </row>
    <row r="34" spans="2:21" ht="12.75">
      <c r="B34" s="66" t="s">
        <v>117</v>
      </c>
      <c r="C34" s="79">
        <f t="shared" si="8"/>
        <v>0</v>
      </c>
      <c r="D34" s="109"/>
      <c r="E34" s="109"/>
      <c r="F34" s="109"/>
      <c r="G34" s="109"/>
      <c r="H34" s="218"/>
      <c r="I34" s="66" t="s">
        <v>117</v>
      </c>
      <c r="J34" s="224">
        <f t="shared" si="9"/>
        <v>0</v>
      </c>
      <c r="K34" s="109">
        <f t="shared" si="11"/>
        <v>0</v>
      </c>
      <c r="L34" s="109">
        <f t="shared" si="12"/>
        <v>0</v>
      </c>
      <c r="M34" s="109">
        <f t="shared" si="12"/>
        <v>0</v>
      </c>
      <c r="N34" s="109">
        <f t="shared" si="12"/>
        <v>0</v>
      </c>
      <c r="P34" s="66" t="s">
        <v>117</v>
      </c>
      <c r="Q34" s="79">
        <f t="shared" si="10"/>
        <v>0</v>
      </c>
      <c r="R34" s="109"/>
      <c r="S34" s="109"/>
      <c r="T34" s="211"/>
      <c r="U34" s="109"/>
    </row>
    <row r="35" spans="2:21" ht="12.75">
      <c r="B35" s="66" t="s">
        <v>118</v>
      </c>
      <c r="C35" s="79">
        <f t="shared" si="8"/>
        <v>22674</v>
      </c>
      <c r="D35" s="109">
        <v>6238</v>
      </c>
      <c r="E35" s="109">
        <v>6545</v>
      </c>
      <c r="F35" s="109">
        <v>6088</v>
      </c>
      <c r="G35" s="109">
        <v>3803</v>
      </c>
      <c r="H35" s="218"/>
      <c r="I35" s="66" t="s">
        <v>118</v>
      </c>
      <c r="J35" s="224">
        <f t="shared" si="9"/>
        <v>17058</v>
      </c>
      <c r="K35" s="109">
        <f t="shared" si="11"/>
        <v>6238</v>
      </c>
      <c r="L35" s="109">
        <f t="shared" si="12"/>
        <v>6545</v>
      </c>
      <c r="M35" s="109">
        <f t="shared" si="12"/>
        <v>4275</v>
      </c>
      <c r="N35" s="109">
        <f t="shared" si="12"/>
        <v>0</v>
      </c>
      <c r="P35" s="66" t="s">
        <v>118</v>
      </c>
      <c r="Q35" s="79">
        <f t="shared" si="10"/>
        <v>5616</v>
      </c>
      <c r="R35" s="109">
        <v>0</v>
      </c>
      <c r="S35" s="109">
        <v>0</v>
      </c>
      <c r="T35" s="211">
        <v>1813</v>
      </c>
      <c r="U35" s="109">
        <v>3803</v>
      </c>
    </row>
    <row r="36" spans="2:21" ht="12.75">
      <c r="B36" s="66" t="s">
        <v>119</v>
      </c>
      <c r="C36" s="79">
        <f t="shared" si="8"/>
        <v>3300</v>
      </c>
      <c r="D36" s="109">
        <v>1300</v>
      </c>
      <c r="E36" s="109">
        <v>0</v>
      </c>
      <c r="F36" s="109">
        <v>300</v>
      </c>
      <c r="G36" s="109">
        <v>1700</v>
      </c>
      <c r="H36" s="218"/>
      <c r="I36" s="66" t="s">
        <v>119</v>
      </c>
      <c r="J36" s="224">
        <f t="shared" si="9"/>
        <v>1300</v>
      </c>
      <c r="K36" s="109">
        <f t="shared" si="11"/>
        <v>1300</v>
      </c>
      <c r="L36" s="109">
        <f t="shared" si="12"/>
        <v>0</v>
      </c>
      <c r="M36" s="109">
        <f t="shared" si="12"/>
        <v>0</v>
      </c>
      <c r="N36" s="109">
        <f t="shared" si="12"/>
        <v>0</v>
      </c>
      <c r="P36" s="66" t="s">
        <v>119</v>
      </c>
      <c r="Q36" s="79">
        <f t="shared" si="10"/>
        <v>2000</v>
      </c>
      <c r="R36" s="109">
        <v>0</v>
      </c>
      <c r="S36" s="109">
        <v>0</v>
      </c>
      <c r="T36" s="211">
        <v>300</v>
      </c>
      <c r="U36" s="109">
        <v>1700</v>
      </c>
    </row>
    <row r="37" spans="2:21" ht="12.75">
      <c r="B37" s="66" t="s">
        <v>120</v>
      </c>
      <c r="C37" s="79">
        <f t="shared" si="8"/>
        <v>0</v>
      </c>
      <c r="D37" s="109"/>
      <c r="E37" s="109"/>
      <c r="F37" s="109"/>
      <c r="G37" s="109"/>
      <c r="H37" s="218"/>
      <c r="I37" s="66" t="s">
        <v>120</v>
      </c>
      <c r="J37" s="224">
        <f t="shared" si="9"/>
        <v>0</v>
      </c>
      <c r="K37" s="109">
        <f t="shared" si="11"/>
        <v>0</v>
      </c>
      <c r="L37" s="109">
        <f t="shared" si="12"/>
        <v>0</v>
      </c>
      <c r="M37" s="109">
        <f t="shared" si="12"/>
        <v>0</v>
      </c>
      <c r="N37" s="109">
        <f t="shared" si="12"/>
        <v>0</v>
      </c>
      <c r="P37" s="66" t="s">
        <v>120</v>
      </c>
      <c r="Q37" s="79">
        <f t="shared" si="10"/>
        <v>0</v>
      </c>
      <c r="R37" s="109"/>
      <c r="S37" s="109"/>
      <c r="T37" s="211"/>
      <c r="U37" s="109"/>
    </row>
    <row r="38" spans="2:21" ht="78.75" customHeight="1">
      <c r="B38" s="138" t="s">
        <v>123</v>
      </c>
      <c r="C38" s="50">
        <f t="shared" si="8"/>
        <v>20275</v>
      </c>
      <c r="D38" s="198">
        <f>+D39+D41+D43+D42+D40</f>
        <v>8212</v>
      </c>
      <c r="E38" s="198">
        <f>+E39+E41+E43+E42+E40</f>
        <v>10535</v>
      </c>
      <c r="F38" s="198">
        <f>+F39+F41+F43+F42+F40</f>
        <v>962</v>
      </c>
      <c r="G38" s="198">
        <f>+G39+G41+G43+G42+G40</f>
        <v>566</v>
      </c>
      <c r="H38" s="216"/>
      <c r="I38" s="138" t="s">
        <v>123</v>
      </c>
      <c r="J38" s="223">
        <f t="shared" si="9"/>
        <v>9957</v>
      </c>
      <c r="K38" s="198">
        <f>+K39+K41+K43+K42+K40</f>
        <v>1338</v>
      </c>
      <c r="L38" s="198">
        <f>+L39+L41+L43+L42+L40</f>
        <v>8395</v>
      </c>
      <c r="M38" s="210">
        <f>+M39+M41+M43+M42+M40</f>
        <v>224</v>
      </c>
      <c r="N38" s="198">
        <f>+N39+N41+N43+N42+N40</f>
        <v>0</v>
      </c>
      <c r="P38" s="138" t="s">
        <v>123</v>
      </c>
      <c r="Q38" s="50">
        <f t="shared" si="10"/>
        <v>10318</v>
      </c>
      <c r="R38" s="198">
        <f>+R39+R41+R43+R42+R40</f>
        <v>6874</v>
      </c>
      <c r="S38" s="198">
        <f>+S39+S41+S43+S42+S40</f>
        <v>2140</v>
      </c>
      <c r="T38" s="210">
        <f>+T39+T41+T43+T42+T40</f>
        <v>738</v>
      </c>
      <c r="U38" s="198">
        <f>+U39+U41+U43+U42+U40</f>
        <v>566</v>
      </c>
    </row>
    <row r="39" spans="2:21" ht="12.75">
      <c r="B39" s="75" t="s">
        <v>125</v>
      </c>
      <c r="C39" s="79">
        <f t="shared" si="8"/>
        <v>952</v>
      </c>
      <c r="D39" s="109">
        <v>952</v>
      </c>
      <c r="E39" s="109"/>
      <c r="F39" s="109"/>
      <c r="G39" s="109"/>
      <c r="H39" s="218"/>
      <c r="I39" s="75" t="s">
        <v>125</v>
      </c>
      <c r="J39" s="224">
        <f t="shared" si="9"/>
        <v>952</v>
      </c>
      <c r="K39" s="109">
        <f aca="true" t="shared" si="13" ref="K39:N43">D39-R39</f>
        <v>952</v>
      </c>
      <c r="L39" s="109">
        <f t="shared" si="13"/>
        <v>0</v>
      </c>
      <c r="M39" s="109">
        <f t="shared" si="13"/>
        <v>0</v>
      </c>
      <c r="N39" s="109">
        <f t="shared" si="13"/>
        <v>0</v>
      </c>
      <c r="P39" s="75" t="s">
        <v>125</v>
      </c>
      <c r="Q39" s="79">
        <f t="shared" si="10"/>
        <v>0</v>
      </c>
      <c r="R39" s="109"/>
      <c r="S39" s="109"/>
      <c r="T39" s="211"/>
      <c r="U39" s="109"/>
    </row>
    <row r="40" spans="2:21" ht="12.75">
      <c r="B40" s="66" t="s">
        <v>118</v>
      </c>
      <c r="C40" s="79">
        <f t="shared" si="8"/>
        <v>1414</v>
      </c>
      <c r="D40" s="109">
        <v>508</v>
      </c>
      <c r="E40" s="109">
        <v>0</v>
      </c>
      <c r="F40" s="109">
        <v>662</v>
      </c>
      <c r="G40" s="109">
        <v>244</v>
      </c>
      <c r="H40" s="218"/>
      <c r="I40" s="66" t="s">
        <v>118</v>
      </c>
      <c r="J40" s="224">
        <f t="shared" si="9"/>
        <v>0</v>
      </c>
      <c r="K40" s="109">
        <f t="shared" si="13"/>
        <v>0</v>
      </c>
      <c r="L40" s="109">
        <f t="shared" si="13"/>
        <v>0</v>
      </c>
      <c r="M40" s="109">
        <f t="shared" si="13"/>
        <v>0</v>
      </c>
      <c r="N40" s="109">
        <f t="shared" si="13"/>
        <v>0</v>
      </c>
      <c r="P40" s="66" t="s">
        <v>118</v>
      </c>
      <c r="Q40" s="79">
        <f t="shared" si="10"/>
        <v>1414</v>
      </c>
      <c r="R40" s="109">
        <v>508</v>
      </c>
      <c r="S40" s="109">
        <v>0</v>
      </c>
      <c r="T40" s="211">
        <v>662</v>
      </c>
      <c r="U40" s="109">
        <v>244</v>
      </c>
    </row>
    <row r="41" spans="2:21" ht="12.75">
      <c r="B41" s="143" t="s">
        <v>126</v>
      </c>
      <c r="C41" s="109">
        <f t="shared" si="8"/>
        <v>15713</v>
      </c>
      <c r="D41" s="109">
        <v>5754</v>
      </c>
      <c r="E41" s="109">
        <v>9959</v>
      </c>
      <c r="F41" s="109">
        <v>0</v>
      </c>
      <c r="G41" s="109">
        <v>0</v>
      </c>
      <c r="H41" s="218"/>
      <c r="I41" s="143" t="s">
        <v>126</v>
      </c>
      <c r="J41" s="225">
        <f t="shared" si="9"/>
        <v>8380</v>
      </c>
      <c r="K41" s="109">
        <f t="shared" si="13"/>
        <v>0</v>
      </c>
      <c r="L41" s="109">
        <f t="shared" si="13"/>
        <v>8380</v>
      </c>
      <c r="M41" s="109">
        <f t="shared" si="13"/>
        <v>0</v>
      </c>
      <c r="N41" s="109">
        <f t="shared" si="13"/>
        <v>0</v>
      </c>
      <c r="P41" s="143" t="s">
        <v>126</v>
      </c>
      <c r="Q41" s="109">
        <f t="shared" si="10"/>
        <v>7333</v>
      </c>
      <c r="R41" s="109">
        <v>5754</v>
      </c>
      <c r="S41" s="109">
        <v>1579</v>
      </c>
      <c r="T41" s="211">
        <v>0</v>
      </c>
      <c r="U41" s="109">
        <v>0</v>
      </c>
    </row>
    <row r="42" spans="2:21" ht="12.75">
      <c r="B42" s="143" t="s">
        <v>116</v>
      </c>
      <c r="C42" s="109">
        <f t="shared" si="8"/>
        <v>386</v>
      </c>
      <c r="D42" s="109">
        <v>386</v>
      </c>
      <c r="E42" s="109"/>
      <c r="F42" s="109"/>
      <c r="G42" s="109"/>
      <c r="H42" s="218"/>
      <c r="I42" s="143" t="s">
        <v>116</v>
      </c>
      <c r="J42" s="225">
        <f t="shared" si="9"/>
        <v>386</v>
      </c>
      <c r="K42" s="109">
        <f t="shared" si="13"/>
        <v>386</v>
      </c>
      <c r="L42" s="109">
        <f t="shared" si="13"/>
        <v>0</v>
      </c>
      <c r="M42" s="109">
        <f t="shared" si="13"/>
        <v>0</v>
      </c>
      <c r="N42" s="109">
        <f t="shared" si="13"/>
        <v>0</v>
      </c>
      <c r="P42" s="143" t="s">
        <v>116</v>
      </c>
      <c r="Q42" s="109">
        <f t="shared" si="10"/>
        <v>0</v>
      </c>
      <c r="R42" s="109"/>
      <c r="S42" s="109"/>
      <c r="T42" s="211"/>
      <c r="U42" s="109"/>
    </row>
    <row r="43" spans="2:21" ht="12.75">
      <c r="B43" s="75" t="s">
        <v>115</v>
      </c>
      <c r="C43" s="79">
        <f t="shared" si="8"/>
        <v>1810</v>
      </c>
      <c r="D43" s="109">
        <v>612</v>
      </c>
      <c r="E43" s="109">
        <v>576</v>
      </c>
      <c r="F43" s="109">
        <v>300</v>
      </c>
      <c r="G43" s="109">
        <v>322</v>
      </c>
      <c r="H43" s="218"/>
      <c r="I43" s="75" t="s">
        <v>115</v>
      </c>
      <c r="J43" s="224">
        <f t="shared" si="9"/>
        <v>239</v>
      </c>
      <c r="K43" s="109">
        <f t="shared" si="13"/>
        <v>0</v>
      </c>
      <c r="L43" s="109">
        <f t="shared" si="13"/>
        <v>15</v>
      </c>
      <c r="M43" s="109">
        <f t="shared" si="13"/>
        <v>224</v>
      </c>
      <c r="N43" s="109">
        <f t="shared" si="13"/>
        <v>0</v>
      </c>
      <c r="P43" s="75" t="s">
        <v>115</v>
      </c>
      <c r="Q43" s="79">
        <f t="shared" si="10"/>
        <v>1571</v>
      </c>
      <c r="R43" s="109">
        <v>612</v>
      </c>
      <c r="S43" s="109">
        <v>561</v>
      </c>
      <c r="T43" s="211">
        <v>76</v>
      </c>
      <c r="U43" s="109">
        <v>322</v>
      </c>
    </row>
    <row r="44" spans="2:21" ht="12.75">
      <c r="B44" s="59" t="s">
        <v>127</v>
      </c>
      <c r="C44" s="50">
        <f t="shared" si="8"/>
        <v>8342</v>
      </c>
      <c r="D44" s="168">
        <f>D45+D46+D47</f>
        <v>587</v>
      </c>
      <c r="E44" s="168">
        <f>E45+E46+E47</f>
        <v>1666.7</v>
      </c>
      <c r="F44" s="168">
        <f>F45+F46+F47</f>
        <v>5171.3</v>
      </c>
      <c r="G44" s="168">
        <f>G45+G46+G47</f>
        <v>917</v>
      </c>
      <c r="H44" s="216"/>
      <c r="I44" s="59" t="s">
        <v>127</v>
      </c>
      <c r="J44" s="223">
        <f t="shared" si="9"/>
        <v>2330.3599999999997</v>
      </c>
      <c r="K44" s="168">
        <f>K45+K46+K47</f>
        <v>587</v>
      </c>
      <c r="L44" s="168">
        <f>L45+L46+L47</f>
        <v>1666.7</v>
      </c>
      <c r="M44" s="212">
        <f>M45+M46+M47</f>
        <v>76.66</v>
      </c>
      <c r="N44" s="168">
        <f>N45+N46+N47</f>
        <v>0</v>
      </c>
      <c r="P44" s="59" t="s">
        <v>127</v>
      </c>
      <c r="Q44" s="50">
        <f t="shared" si="10"/>
        <v>6011.64</v>
      </c>
      <c r="R44" s="168">
        <f>R45+R46+R47</f>
        <v>0</v>
      </c>
      <c r="S44" s="168">
        <f>S45+S46+S47</f>
        <v>0</v>
      </c>
      <c r="T44" s="212">
        <f>T45+T46+T47</f>
        <v>5094.64</v>
      </c>
      <c r="U44" s="168">
        <f>U45+U46+U47</f>
        <v>917</v>
      </c>
    </row>
    <row r="45" spans="2:21" ht="12.75">
      <c r="B45" s="66" t="s">
        <v>125</v>
      </c>
      <c r="C45" s="79">
        <f t="shared" si="8"/>
        <v>7342</v>
      </c>
      <c r="D45" s="109">
        <v>382</v>
      </c>
      <c r="E45" s="109">
        <v>1301.7</v>
      </c>
      <c r="F45" s="109">
        <v>4936.3</v>
      </c>
      <c r="G45" s="109">
        <v>722</v>
      </c>
      <c r="H45" s="218"/>
      <c r="I45" s="66" t="s">
        <v>125</v>
      </c>
      <c r="J45" s="224">
        <f t="shared" si="9"/>
        <v>1683.7</v>
      </c>
      <c r="K45" s="109">
        <f aca="true" t="shared" si="14" ref="K45:N47">D45-R45</f>
        <v>382</v>
      </c>
      <c r="L45" s="109">
        <f t="shared" si="14"/>
        <v>1301.7</v>
      </c>
      <c r="M45" s="109">
        <f t="shared" si="14"/>
        <v>0</v>
      </c>
      <c r="N45" s="109">
        <f t="shared" si="14"/>
        <v>0</v>
      </c>
      <c r="P45" s="66" t="s">
        <v>125</v>
      </c>
      <c r="Q45" s="79">
        <f t="shared" si="10"/>
        <v>5658.3</v>
      </c>
      <c r="R45" s="109"/>
      <c r="S45" s="109">
        <v>0</v>
      </c>
      <c r="T45" s="211">
        <v>4936.3</v>
      </c>
      <c r="U45" s="109">
        <v>722</v>
      </c>
    </row>
    <row r="46" spans="2:21" ht="12.75">
      <c r="B46" s="143" t="s">
        <v>126</v>
      </c>
      <c r="C46" s="79">
        <f t="shared" si="8"/>
        <v>0</v>
      </c>
      <c r="D46" s="109"/>
      <c r="E46" s="109"/>
      <c r="F46" s="109"/>
      <c r="G46" s="109"/>
      <c r="H46" s="218"/>
      <c r="I46" s="143" t="s">
        <v>126</v>
      </c>
      <c r="J46" s="224">
        <f t="shared" si="9"/>
        <v>0</v>
      </c>
      <c r="K46" s="109">
        <f t="shared" si="14"/>
        <v>0</v>
      </c>
      <c r="L46" s="109">
        <f t="shared" si="14"/>
        <v>0</v>
      </c>
      <c r="M46" s="109">
        <f t="shared" si="14"/>
        <v>0</v>
      </c>
      <c r="N46" s="109">
        <f t="shared" si="14"/>
        <v>0</v>
      </c>
      <c r="P46" s="143" t="s">
        <v>126</v>
      </c>
      <c r="Q46" s="79">
        <f t="shared" si="10"/>
        <v>0</v>
      </c>
      <c r="R46" s="109"/>
      <c r="S46" s="109"/>
      <c r="T46" s="211"/>
      <c r="U46" s="109"/>
    </row>
    <row r="47" spans="2:21" ht="12.75">
      <c r="B47" s="66" t="s">
        <v>130</v>
      </c>
      <c r="C47" s="79">
        <f t="shared" si="8"/>
        <v>1000</v>
      </c>
      <c r="D47" s="109">
        <v>205</v>
      </c>
      <c r="E47" s="109">
        <v>365</v>
      </c>
      <c r="F47" s="109">
        <v>235</v>
      </c>
      <c r="G47" s="109">
        <v>195</v>
      </c>
      <c r="H47" s="218"/>
      <c r="I47" s="66" t="s">
        <v>130</v>
      </c>
      <c r="J47" s="224">
        <f t="shared" si="9"/>
        <v>646.66</v>
      </c>
      <c r="K47" s="109">
        <f t="shared" si="14"/>
        <v>205</v>
      </c>
      <c r="L47" s="109">
        <f t="shared" si="14"/>
        <v>365</v>
      </c>
      <c r="M47" s="109">
        <f t="shared" si="14"/>
        <v>76.66</v>
      </c>
      <c r="N47" s="109">
        <f t="shared" si="14"/>
        <v>0</v>
      </c>
      <c r="P47" s="66" t="s">
        <v>130</v>
      </c>
      <c r="Q47" s="79">
        <f t="shared" si="10"/>
        <v>353.34000000000003</v>
      </c>
      <c r="R47" s="109"/>
      <c r="S47" s="109"/>
      <c r="T47" s="211">
        <v>158.34</v>
      </c>
      <c r="U47" s="109">
        <v>195</v>
      </c>
    </row>
    <row r="48" spans="2:21" ht="12.75">
      <c r="B48" s="85" t="s">
        <v>342</v>
      </c>
      <c r="C48" s="137">
        <f>C44+C38+C30+C28</f>
        <v>162984.43</v>
      </c>
      <c r="D48" s="137">
        <f>D44+D38+D30+D28</f>
        <v>43423.600000000006</v>
      </c>
      <c r="E48" s="137">
        <f>E44+E38+E30+E28</f>
        <v>40023.369999999995</v>
      </c>
      <c r="F48" s="213">
        <f>F44+F38+F30+F28</f>
        <v>53119.78</v>
      </c>
      <c r="G48" s="137">
        <f>G44+G38+G30+G28</f>
        <v>26417.68</v>
      </c>
      <c r="H48" s="171"/>
      <c r="I48" s="85" t="s">
        <v>342</v>
      </c>
      <c r="J48" s="226">
        <f>J44+J38+J30+J28</f>
        <v>83610.67000000001</v>
      </c>
      <c r="K48" s="137">
        <f>K44+K38+K30+K28</f>
        <v>36549.600000000006</v>
      </c>
      <c r="L48" s="137">
        <f>L44+L38+L30+L28</f>
        <v>37654.369999999995</v>
      </c>
      <c r="M48" s="213">
        <f>M44+M38+M30+M28</f>
        <v>9406.7</v>
      </c>
      <c r="N48" s="137">
        <f>N44+N38+N30+N28</f>
        <v>0</v>
      </c>
      <c r="O48" s="2"/>
      <c r="P48" s="85" t="s">
        <v>342</v>
      </c>
      <c r="Q48" s="137">
        <f>Q44+Q38+Q30+Q28</f>
        <v>79373.76000000001</v>
      </c>
      <c r="R48" s="137">
        <f>R44+R38+R30+R28</f>
        <v>6874</v>
      </c>
      <c r="S48" s="137">
        <f>S44+S38+S30+S28</f>
        <v>2369</v>
      </c>
      <c r="T48" s="213">
        <f>T44+T38+T30+T28</f>
        <v>43713.08</v>
      </c>
      <c r="U48" s="137">
        <f>U44+U38+U30+U28</f>
        <v>26417.68</v>
      </c>
    </row>
    <row r="49" spans="2:21" ht="12.75">
      <c r="B49" s="85" t="s">
        <v>37</v>
      </c>
      <c r="C49" s="137">
        <f>C48-C27</f>
        <v>158399.21</v>
      </c>
      <c r="D49" s="137">
        <f>D48-D27</f>
        <v>43423.600000000006</v>
      </c>
      <c r="E49" s="137">
        <f>E48-E27</f>
        <v>40023.369999999995</v>
      </c>
      <c r="F49" s="137">
        <f>F48-F27</f>
        <v>53119.78</v>
      </c>
      <c r="G49" s="137">
        <f>G48-G27</f>
        <v>21832.46</v>
      </c>
      <c r="H49" s="2"/>
      <c r="I49" s="85" t="s">
        <v>37</v>
      </c>
      <c r="J49" s="49">
        <f>J48-J27</f>
        <v>83610.67000000001</v>
      </c>
      <c r="K49" s="49">
        <f>K48-K27</f>
        <v>36549.600000000006</v>
      </c>
      <c r="L49" s="49">
        <f>L48-L27</f>
        <v>37654.369999999995</v>
      </c>
      <c r="M49" s="49">
        <f>M48-M27</f>
        <v>9406.7</v>
      </c>
      <c r="N49" s="49">
        <f>N48-N27</f>
        <v>0</v>
      </c>
      <c r="O49" s="2"/>
      <c r="P49" s="85" t="s">
        <v>37</v>
      </c>
      <c r="Q49" s="49">
        <f>Q48-Q27</f>
        <v>74788.54000000001</v>
      </c>
      <c r="R49" s="49">
        <f>R48-R27</f>
        <v>6874</v>
      </c>
      <c r="S49" s="49">
        <f>S48-S27</f>
        <v>2369</v>
      </c>
      <c r="T49" s="49">
        <f>T48-T27</f>
        <v>43713.08</v>
      </c>
      <c r="U49" s="49">
        <f>U48-U27</f>
        <v>21832.46</v>
      </c>
    </row>
    <row r="50" spans="3:7" ht="12.75">
      <c r="C50" s="21"/>
      <c r="D50" s="21"/>
      <c r="E50" s="21"/>
      <c r="F50" s="21"/>
      <c r="G50" s="21"/>
    </row>
    <row r="51" spans="12:20" ht="12.75">
      <c r="L51" s="21"/>
      <c r="S51" s="21"/>
      <c r="T51" s="21"/>
    </row>
    <row r="53" spans="3:7" ht="12.75">
      <c r="C53" s="21"/>
      <c r="D53" s="21"/>
      <c r="E53" s="21"/>
      <c r="F53" s="21"/>
      <c r="G53" s="21"/>
    </row>
    <row r="54" spans="3:7" ht="12.75">
      <c r="C54" s="21"/>
      <c r="D54" s="21"/>
      <c r="E54" s="21"/>
      <c r="F54" s="21"/>
      <c r="G54" s="21"/>
    </row>
    <row r="56" spans="2:11" ht="12.75">
      <c r="B56" s="123"/>
      <c r="C56" s="214"/>
      <c r="D56" s="214"/>
      <c r="E56" s="214"/>
      <c r="F56" s="123"/>
      <c r="G56" s="123"/>
      <c r="I56" s="2" t="s">
        <v>366</v>
      </c>
      <c r="J56" s="2"/>
      <c r="K56" s="2"/>
    </row>
    <row r="57" spans="2:11" ht="12.75">
      <c r="B57" s="214"/>
      <c r="C57" s="214"/>
      <c r="D57" s="214"/>
      <c r="E57" s="214"/>
      <c r="F57" s="123"/>
      <c r="G57" s="123"/>
      <c r="H57" s="2" t="s">
        <v>367</v>
      </c>
      <c r="I57" s="2"/>
      <c r="J57" s="2"/>
      <c r="K57" s="2"/>
    </row>
    <row r="58" spans="2:8" ht="12.75">
      <c r="B58" s="123"/>
      <c r="C58" s="123"/>
      <c r="D58" s="123"/>
      <c r="E58" s="123"/>
      <c r="F58" s="123"/>
      <c r="G58" s="123"/>
      <c r="H58" t="s">
        <v>368</v>
      </c>
    </row>
    <row r="59" spans="2:7" ht="12.75">
      <c r="B59" s="123"/>
      <c r="C59" s="123"/>
      <c r="D59" s="123"/>
      <c r="E59" s="123"/>
      <c r="F59" s="123"/>
      <c r="G59" s="123"/>
    </row>
    <row r="60" spans="2:7" ht="12.75">
      <c r="B60" s="123"/>
      <c r="C60" s="123"/>
      <c r="D60" s="123"/>
      <c r="E60" s="123"/>
      <c r="F60" s="123"/>
      <c r="G60" s="123"/>
    </row>
    <row r="61" spans="2:7" ht="12.75">
      <c r="B61" s="123"/>
      <c r="C61" s="123"/>
      <c r="D61" s="123"/>
      <c r="E61" s="123"/>
      <c r="F61" s="123"/>
      <c r="G61" s="123"/>
    </row>
    <row r="62" spans="2:7" ht="12.75">
      <c r="B62" s="123"/>
      <c r="C62" s="123"/>
      <c r="D62" s="123"/>
      <c r="E62" s="123"/>
      <c r="F62" s="123"/>
      <c r="G62" s="123"/>
    </row>
    <row r="63" spans="2:11" ht="15.75">
      <c r="B63" s="123"/>
      <c r="C63" s="338"/>
      <c r="D63" s="338"/>
      <c r="E63" s="338"/>
      <c r="F63" s="123"/>
      <c r="G63" s="123"/>
      <c r="I63" s="332" t="s">
        <v>369</v>
      </c>
      <c r="J63" s="332"/>
      <c r="K63" s="332"/>
    </row>
    <row r="64" spans="2:11" ht="15.75">
      <c r="B64" s="123"/>
      <c r="C64" s="338"/>
      <c r="D64" s="338"/>
      <c r="E64" s="338"/>
      <c r="F64" s="123"/>
      <c r="G64" s="123"/>
      <c r="I64" s="332" t="s">
        <v>370</v>
      </c>
      <c r="J64" s="332"/>
      <c r="K64" s="332"/>
    </row>
    <row r="65" spans="2:11" ht="15">
      <c r="B65" s="123"/>
      <c r="C65" s="299"/>
      <c r="D65" s="299"/>
      <c r="E65" s="299"/>
      <c r="F65" s="123"/>
      <c r="G65" s="123"/>
      <c r="I65" s="241"/>
      <c r="J65" s="241"/>
      <c r="K65" s="241"/>
    </row>
    <row r="66" spans="2:8" ht="12.75">
      <c r="B66" s="123"/>
      <c r="C66" s="123"/>
      <c r="D66" s="123"/>
      <c r="E66" s="123"/>
      <c r="F66" s="123"/>
      <c r="G66" s="123"/>
      <c r="H66" t="s">
        <v>375</v>
      </c>
    </row>
    <row r="67" spans="2:8" ht="12.75">
      <c r="B67" s="123"/>
      <c r="C67" s="123"/>
      <c r="D67" s="123"/>
      <c r="E67" s="123"/>
      <c r="F67" s="123"/>
      <c r="G67" s="123"/>
      <c r="H67" t="s">
        <v>371</v>
      </c>
    </row>
    <row r="68" spans="2:8" ht="12.75">
      <c r="B68" s="123"/>
      <c r="C68" s="123"/>
      <c r="D68" s="123"/>
      <c r="E68" s="123"/>
      <c r="F68" s="123"/>
      <c r="G68" s="123"/>
      <c r="H68" t="s">
        <v>376</v>
      </c>
    </row>
    <row r="69" spans="2:8" ht="12.75">
      <c r="B69" s="339"/>
      <c r="C69" s="123"/>
      <c r="D69" s="123"/>
      <c r="E69" s="123"/>
      <c r="F69" s="123"/>
      <c r="G69" s="123"/>
      <c r="H69" s="333" t="s">
        <v>377</v>
      </c>
    </row>
    <row r="70" spans="2:8" ht="12.75">
      <c r="B70" s="339"/>
      <c r="C70" s="123"/>
      <c r="D70" s="123"/>
      <c r="E70" s="123"/>
      <c r="F70" s="123"/>
      <c r="G70" s="123"/>
      <c r="H70" s="333"/>
    </row>
    <row r="71" spans="2:8" ht="12.75">
      <c r="B71" s="339"/>
      <c r="C71" s="123"/>
      <c r="D71" s="123"/>
      <c r="E71" s="123"/>
      <c r="F71" s="123"/>
      <c r="G71" s="123"/>
      <c r="H71" s="333"/>
    </row>
    <row r="72" spans="2:12" ht="12.75">
      <c r="B72" s="123"/>
      <c r="C72" s="123"/>
      <c r="D72" s="123"/>
      <c r="E72" s="123"/>
      <c r="F72" s="340"/>
      <c r="G72" s="123"/>
      <c r="L72" s="311" t="s">
        <v>372</v>
      </c>
    </row>
    <row r="73" spans="2:12" ht="51">
      <c r="B73" s="123"/>
      <c r="C73" s="214"/>
      <c r="D73" s="214"/>
      <c r="E73" s="214"/>
      <c r="F73" s="341"/>
      <c r="G73" s="123"/>
      <c r="H73" s="111"/>
      <c r="I73" s="85" t="s">
        <v>373</v>
      </c>
      <c r="J73" s="85"/>
      <c r="K73" s="85"/>
      <c r="L73" s="148" t="s">
        <v>374</v>
      </c>
    </row>
    <row r="74" spans="2:12" ht="12.75">
      <c r="B74" s="123"/>
      <c r="C74" s="123"/>
      <c r="D74" s="123"/>
      <c r="E74" s="123"/>
      <c r="F74" s="342"/>
      <c r="G74" s="123"/>
      <c r="H74" s="111">
        <v>0</v>
      </c>
      <c r="I74" s="111">
        <v>1</v>
      </c>
      <c r="J74" s="111"/>
      <c r="K74" s="111"/>
      <c r="L74" s="334">
        <v>2</v>
      </c>
    </row>
    <row r="75" spans="2:13" ht="12.75">
      <c r="B75" s="123"/>
      <c r="C75" s="214"/>
      <c r="D75" s="214"/>
      <c r="E75" s="214"/>
      <c r="F75" s="215"/>
      <c r="G75" s="123"/>
      <c r="H75" s="111"/>
      <c r="I75" s="85" t="s">
        <v>270</v>
      </c>
      <c r="J75" s="85"/>
      <c r="K75" s="85"/>
      <c r="L75" s="166">
        <f>L76+L87+L88+L89+L94+L98+L99+L100+L101+L102</f>
        <v>28561</v>
      </c>
      <c r="M75" s="346"/>
    </row>
    <row r="76" spans="2:13" ht="12.75">
      <c r="B76" s="123"/>
      <c r="C76" s="214"/>
      <c r="D76" s="214"/>
      <c r="E76" s="214"/>
      <c r="F76" s="215"/>
      <c r="G76" s="123"/>
      <c r="H76" s="111"/>
      <c r="I76" s="85" t="s">
        <v>130</v>
      </c>
      <c r="J76" s="85"/>
      <c r="K76" s="85"/>
      <c r="L76" s="166">
        <f>L77+L78+L79+L80+L81+L82+L83+L84+L85+L86</f>
        <v>10510</v>
      </c>
      <c r="M76" s="346"/>
    </row>
    <row r="77" spans="2:13" ht="12.75">
      <c r="B77" s="123"/>
      <c r="C77" s="123"/>
      <c r="D77" s="123"/>
      <c r="E77" s="123"/>
      <c r="F77" s="343"/>
      <c r="G77" s="123"/>
      <c r="H77" s="111" t="s">
        <v>47</v>
      </c>
      <c r="I77" s="111" t="s">
        <v>186</v>
      </c>
      <c r="J77" s="111"/>
      <c r="K77" s="111"/>
      <c r="L77" s="335">
        <v>220</v>
      </c>
      <c r="M77" s="346"/>
    </row>
    <row r="78" spans="2:13" ht="12.75">
      <c r="B78" s="123"/>
      <c r="C78" s="123"/>
      <c r="D78" s="123"/>
      <c r="E78" s="123"/>
      <c r="F78" s="343"/>
      <c r="G78" s="123"/>
      <c r="H78" s="111" t="s">
        <v>80</v>
      </c>
      <c r="I78" s="111" t="s">
        <v>187</v>
      </c>
      <c r="J78" s="111"/>
      <c r="K78" s="111"/>
      <c r="L78" s="335">
        <v>180</v>
      </c>
      <c r="M78" s="346"/>
    </row>
    <row r="79" spans="2:13" ht="12.75">
      <c r="B79" s="123"/>
      <c r="C79" s="123"/>
      <c r="D79" s="123"/>
      <c r="E79" s="123"/>
      <c r="F79" s="343"/>
      <c r="G79" s="123"/>
      <c r="H79" s="111" t="s">
        <v>84</v>
      </c>
      <c r="I79" s="111" t="s">
        <v>188</v>
      </c>
      <c r="J79" s="111"/>
      <c r="K79" s="111"/>
      <c r="L79" s="335">
        <v>4200</v>
      </c>
      <c r="M79" s="346"/>
    </row>
    <row r="80" spans="2:13" ht="12.75">
      <c r="B80" s="123"/>
      <c r="C80" s="123"/>
      <c r="D80" s="123"/>
      <c r="E80" s="123"/>
      <c r="F80" s="343"/>
      <c r="G80" s="123"/>
      <c r="H80" s="111" t="s">
        <v>108</v>
      </c>
      <c r="I80" s="111" t="s">
        <v>189</v>
      </c>
      <c r="J80" s="111"/>
      <c r="K80" s="111"/>
      <c r="L80" s="335">
        <v>1600</v>
      </c>
      <c r="M80" s="346"/>
    </row>
    <row r="81" spans="2:13" ht="12.75">
      <c r="B81" s="123"/>
      <c r="C81" s="123"/>
      <c r="D81" s="123"/>
      <c r="E81" s="123"/>
      <c r="F81" s="343"/>
      <c r="G81" s="123"/>
      <c r="H81" s="111" t="s">
        <v>41</v>
      </c>
      <c r="I81" s="111" t="s">
        <v>190</v>
      </c>
      <c r="J81" s="111"/>
      <c r="K81" s="111"/>
      <c r="L81" s="335">
        <v>90</v>
      </c>
      <c r="M81" s="346"/>
    </row>
    <row r="82" spans="2:13" ht="12.75">
      <c r="B82" s="123"/>
      <c r="C82" s="123"/>
      <c r="D82" s="123"/>
      <c r="E82" s="123"/>
      <c r="F82" s="343"/>
      <c r="G82" s="123"/>
      <c r="H82" s="111" t="s">
        <v>154</v>
      </c>
      <c r="I82" s="111" t="s">
        <v>191</v>
      </c>
      <c r="J82" s="111"/>
      <c r="K82" s="111"/>
      <c r="L82" s="335">
        <v>300</v>
      </c>
      <c r="M82" s="346"/>
    </row>
    <row r="83" spans="2:13" ht="12.75">
      <c r="B83" s="123"/>
      <c r="C83" s="123"/>
      <c r="D83" s="123"/>
      <c r="E83" s="123"/>
      <c r="F83" s="343"/>
      <c r="G83" s="123"/>
      <c r="H83" s="111" t="s">
        <v>157</v>
      </c>
      <c r="I83" s="111" t="s">
        <v>192</v>
      </c>
      <c r="J83" s="111"/>
      <c r="K83" s="111"/>
      <c r="L83" s="335">
        <v>200</v>
      </c>
      <c r="M83" s="346"/>
    </row>
    <row r="84" spans="2:13" ht="12.75">
      <c r="B84" s="123"/>
      <c r="C84" s="123"/>
      <c r="D84" s="123"/>
      <c r="E84" s="123"/>
      <c r="F84" s="343"/>
      <c r="G84" s="123"/>
      <c r="H84" s="111" t="s">
        <v>65</v>
      </c>
      <c r="I84" s="111" t="s">
        <v>193</v>
      </c>
      <c r="J84" s="111"/>
      <c r="K84" s="111"/>
      <c r="L84" s="335">
        <v>120</v>
      </c>
      <c r="M84" s="346"/>
    </row>
    <row r="85" spans="2:13" ht="12.75">
      <c r="B85" s="123"/>
      <c r="C85" s="123"/>
      <c r="D85" s="123"/>
      <c r="E85" s="123"/>
      <c r="F85" s="343"/>
      <c r="G85" s="123"/>
      <c r="H85" s="111" t="s">
        <v>160</v>
      </c>
      <c r="I85" s="111" t="s">
        <v>194</v>
      </c>
      <c r="J85" s="111"/>
      <c r="K85" s="111"/>
      <c r="L85" s="335">
        <v>100</v>
      </c>
      <c r="M85" s="346"/>
    </row>
    <row r="86" spans="2:13" ht="12.75">
      <c r="B86" s="344"/>
      <c r="C86" s="123"/>
      <c r="D86" s="123"/>
      <c r="E86" s="123"/>
      <c r="F86" s="343"/>
      <c r="G86" s="123"/>
      <c r="H86" s="336">
        <v>30</v>
      </c>
      <c r="I86" s="111" t="s">
        <v>271</v>
      </c>
      <c r="J86" s="111"/>
      <c r="K86" s="111"/>
      <c r="L86" s="335">
        <v>3500</v>
      </c>
      <c r="M86" s="346"/>
    </row>
    <row r="87" spans="2:13" ht="12.75">
      <c r="B87" s="123"/>
      <c r="C87" s="214"/>
      <c r="D87" s="214"/>
      <c r="E87" s="214"/>
      <c r="F87" s="215"/>
      <c r="G87" s="123"/>
      <c r="H87" s="111"/>
      <c r="I87" s="85" t="s">
        <v>196</v>
      </c>
      <c r="J87" s="85"/>
      <c r="K87" s="85"/>
      <c r="L87" s="166">
        <v>150</v>
      </c>
      <c r="M87" s="346"/>
    </row>
    <row r="88" spans="2:13" ht="12.75">
      <c r="B88" s="123"/>
      <c r="C88" s="214"/>
      <c r="D88" s="214"/>
      <c r="E88" s="214"/>
      <c r="F88" s="215"/>
      <c r="G88" s="123"/>
      <c r="H88" s="111"/>
      <c r="I88" s="85" t="s">
        <v>197</v>
      </c>
      <c r="J88" s="85"/>
      <c r="K88" s="85"/>
      <c r="L88" s="166">
        <v>4200</v>
      </c>
      <c r="M88" s="346"/>
    </row>
    <row r="89" spans="2:13" ht="12.75">
      <c r="B89" s="123"/>
      <c r="C89" s="214"/>
      <c r="D89" s="214"/>
      <c r="E89" s="214"/>
      <c r="F89" s="215"/>
      <c r="G89" s="123"/>
      <c r="H89" s="111"/>
      <c r="I89" s="85" t="s">
        <v>200</v>
      </c>
      <c r="J89" s="85"/>
      <c r="K89" s="85"/>
      <c r="L89" s="166">
        <f>L90+L91+L92+L93</f>
        <v>12400</v>
      </c>
      <c r="M89" s="346"/>
    </row>
    <row r="90" spans="2:13" ht="12.75">
      <c r="B90" s="123"/>
      <c r="C90" s="123"/>
      <c r="D90" s="123"/>
      <c r="E90" s="123"/>
      <c r="F90" s="343"/>
      <c r="G90" s="123"/>
      <c r="H90" s="111" t="s">
        <v>47</v>
      </c>
      <c r="I90" s="111" t="s">
        <v>201</v>
      </c>
      <c r="J90" s="111"/>
      <c r="K90" s="111"/>
      <c r="L90" s="335">
        <v>7200</v>
      </c>
      <c r="M90" s="346"/>
    </row>
    <row r="91" spans="2:13" ht="12.75">
      <c r="B91" s="123"/>
      <c r="C91" s="123"/>
      <c r="D91" s="123"/>
      <c r="E91" s="123"/>
      <c r="F91" s="343"/>
      <c r="G91" s="123"/>
      <c r="H91" s="111" t="s">
        <v>80</v>
      </c>
      <c r="I91" s="111" t="s">
        <v>202</v>
      </c>
      <c r="J91" s="111"/>
      <c r="K91" s="111"/>
      <c r="L91" s="335">
        <v>3000</v>
      </c>
      <c r="M91" s="346"/>
    </row>
    <row r="92" spans="2:13" ht="12.75">
      <c r="B92" s="123"/>
      <c r="C92" s="123"/>
      <c r="D92" s="123"/>
      <c r="E92" s="123"/>
      <c r="F92" s="343"/>
      <c r="G92" s="123"/>
      <c r="H92" s="111" t="s">
        <v>84</v>
      </c>
      <c r="I92" s="111" t="s">
        <v>203</v>
      </c>
      <c r="J92" s="111"/>
      <c r="K92" s="111"/>
      <c r="L92" s="335">
        <v>1800</v>
      </c>
      <c r="M92" s="346"/>
    </row>
    <row r="93" spans="2:13" ht="12.75">
      <c r="B93" s="123"/>
      <c r="C93" s="123"/>
      <c r="D93" s="123"/>
      <c r="E93" s="123"/>
      <c r="F93" s="343"/>
      <c r="G93" s="123"/>
      <c r="H93" s="111" t="s">
        <v>108</v>
      </c>
      <c r="I93" s="111" t="s">
        <v>204</v>
      </c>
      <c r="J93" s="111"/>
      <c r="K93" s="111"/>
      <c r="L93" s="335">
        <v>400</v>
      </c>
      <c r="M93" s="346"/>
    </row>
    <row r="94" spans="2:13" ht="12.75">
      <c r="B94" s="123"/>
      <c r="C94" s="214"/>
      <c r="D94" s="214"/>
      <c r="E94" s="214"/>
      <c r="F94" s="215"/>
      <c r="G94" s="123"/>
      <c r="H94" s="111"/>
      <c r="I94" s="85" t="s">
        <v>205</v>
      </c>
      <c r="J94" s="85"/>
      <c r="K94" s="85"/>
      <c r="L94" s="166">
        <f>L95+L96+L97</f>
        <v>160</v>
      </c>
      <c r="M94" s="346"/>
    </row>
    <row r="95" spans="2:13" ht="12.75">
      <c r="B95" s="123"/>
      <c r="C95" s="123"/>
      <c r="D95" s="123"/>
      <c r="E95" s="123"/>
      <c r="F95" s="343"/>
      <c r="G95" s="123"/>
      <c r="H95" s="111" t="s">
        <v>47</v>
      </c>
      <c r="I95" s="111" t="s">
        <v>206</v>
      </c>
      <c r="J95" s="111"/>
      <c r="K95" s="111"/>
      <c r="L95" s="335">
        <v>10</v>
      </c>
      <c r="M95" s="346"/>
    </row>
    <row r="96" spans="2:13" ht="12.75">
      <c r="B96" s="123"/>
      <c r="C96" s="123"/>
      <c r="D96" s="123"/>
      <c r="E96" s="123"/>
      <c r="F96" s="343"/>
      <c r="G96" s="123"/>
      <c r="H96" s="111" t="s">
        <v>84</v>
      </c>
      <c r="I96" s="111" t="s">
        <v>207</v>
      </c>
      <c r="J96" s="111"/>
      <c r="K96" s="111"/>
      <c r="L96" s="335">
        <v>50</v>
      </c>
      <c r="M96" s="346"/>
    </row>
    <row r="97" spans="2:13" ht="12.75">
      <c r="B97" s="345"/>
      <c r="C97" s="342"/>
      <c r="D97" s="342"/>
      <c r="E97" s="342"/>
      <c r="F97" s="343"/>
      <c r="G97" s="123"/>
      <c r="H97" s="337">
        <v>30</v>
      </c>
      <c r="I97" s="334" t="s">
        <v>208</v>
      </c>
      <c r="J97" s="334"/>
      <c r="K97" s="334"/>
      <c r="L97" s="335">
        <v>100</v>
      </c>
      <c r="M97" s="346"/>
    </row>
    <row r="98" spans="2:13" ht="12.75">
      <c r="B98" s="123"/>
      <c r="C98" s="214"/>
      <c r="D98" s="214"/>
      <c r="E98" s="214"/>
      <c r="F98" s="215"/>
      <c r="G98" s="123"/>
      <c r="H98" s="111"/>
      <c r="I98" s="85" t="s">
        <v>212</v>
      </c>
      <c r="J98" s="85"/>
      <c r="K98" s="85"/>
      <c r="L98" s="166">
        <v>170</v>
      </c>
      <c r="M98" s="346"/>
    </row>
    <row r="99" spans="2:13" ht="12.75">
      <c r="B99" s="123"/>
      <c r="C99" s="214"/>
      <c r="D99" s="214"/>
      <c r="E99" s="214"/>
      <c r="F99" s="215"/>
      <c r="G99" s="123"/>
      <c r="H99" s="111"/>
      <c r="I99" s="85" t="s">
        <v>273</v>
      </c>
      <c r="J99" s="85"/>
      <c r="K99" s="85"/>
      <c r="L99" s="166">
        <v>3</v>
      </c>
      <c r="M99" s="346"/>
    </row>
    <row r="100" spans="2:13" ht="12.75">
      <c r="B100" s="123"/>
      <c r="C100" s="214"/>
      <c r="D100" s="214"/>
      <c r="E100" s="214"/>
      <c r="F100" s="215"/>
      <c r="G100" s="123"/>
      <c r="H100" s="111"/>
      <c r="I100" s="85" t="s">
        <v>216</v>
      </c>
      <c r="J100" s="85"/>
      <c r="K100" s="85"/>
      <c r="L100" s="166">
        <v>10</v>
      </c>
      <c r="M100" s="346"/>
    </row>
    <row r="101" spans="2:13" ht="12.75">
      <c r="B101" s="123"/>
      <c r="C101" s="214"/>
      <c r="D101" s="214"/>
      <c r="E101" s="214"/>
      <c r="F101" s="215"/>
      <c r="G101" s="123"/>
      <c r="H101" s="111"/>
      <c r="I101" s="85" t="s">
        <v>217</v>
      </c>
      <c r="J101" s="85"/>
      <c r="K101" s="85"/>
      <c r="L101" s="166">
        <v>0</v>
      </c>
      <c r="M101" s="346"/>
    </row>
    <row r="102" spans="2:13" ht="12.75">
      <c r="B102" s="123"/>
      <c r="C102" s="214"/>
      <c r="D102" s="214"/>
      <c r="E102" s="214"/>
      <c r="F102" s="215"/>
      <c r="G102" s="123"/>
      <c r="H102" s="111"/>
      <c r="I102" s="85" t="s">
        <v>120</v>
      </c>
      <c r="J102" s="85"/>
      <c r="K102" s="85"/>
      <c r="L102" s="166">
        <f>L103+L104</f>
        <v>958</v>
      </c>
      <c r="M102" s="346"/>
    </row>
    <row r="103" spans="2:13" ht="12.75">
      <c r="B103" s="123"/>
      <c r="C103" s="123"/>
      <c r="D103" s="123"/>
      <c r="E103" s="123"/>
      <c r="F103" s="343"/>
      <c r="G103" s="123"/>
      <c r="H103" s="111" t="s">
        <v>108</v>
      </c>
      <c r="I103" s="111" t="s">
        <v>222</v>
      </c>
      <c r="J103" s="111"/>
      <c r="K103" s="111"/>
      <c r="L103" s="335">
        <v>950</v>
      </c>
      <c r="M103" s="346"/>
    </row>
    <row r="104" spans="2:13" ht="12.75">
      <c r="B104" s="123"/>
      <c r="C104" s="123"/>
      <c r="D104" s="123"/>
      <c r="E104" s="123"/>
      <c r="F104" s="343"/>
      <c r="G104" s="123"/>
      <c r="H104" s="336">
        <v>30</v>
      </c>
      <c r="I104" s="111" t="s">
        <v>224</v>
      </c>
      <c r="J104" s="111"/>
      <c r="K104" s="111"/>
      <c r="L104" s="335">
        <v>8</v>
      </c>
      <c r="M104" s="346"/>
    </row>
    <row r="105" spans="2:13" ht="12.75">
      <c r="B105" s="123"/>
      <c r="C105" s="123"/>
      <c r="D105" s="123"/>
      <c r="E105" s="123"/>
      <c r="F105" s="123"/>
      <c r="G105" s="123"/>
      <c r="M105" s="346"/>
    </row>
    <row r="106" spans="2:13" ht="12.75">
      <c r="B106" s="123"/>
      <c r="C106" s="123"/>
      <c r="D106" s="123"/>
      <c r="E106" s="123"/>
      <c r="F106" s="123"/>
      <c r="G106" s="123"/>
      <c r="M106" s="346"/>
    </row>
    <row r="107" spans="2:11" ht="12.75">
      <c r="B107" s="123"/>
      <c r="C107" s="214"/>
      <c r="D107" s="214"/>
      <c r="E107" s="214"/>
      <c r="F107" s="123"/>
      <c r="G107" s="123"/>
      <c r="I107" s="2" t="s">
        <v>358</v>
      </c>
      <c r="J107" s="2"/>
      <c r="K107" s="2"/>
    </row>
    <row r="108" spans="2:9" ht="12.75">
      <c r="B108" s="123"/>
      <c r="C108" s="123"/>
      <c r="D108" s="123"/>
      <c r="E108" s="123"/>
      <c r="F108" s="123"/>
      <c r="G108" s="123"/>
      <c r="I108" t="s">
        <v>313</v>
      </c>
    </row>
    <row r="109" spans="2:7" ht="12.75">
      <c r="B109" s="123"/>
      <c r="C109" s="123"/>
      <c r="D109" s="123"/>
      <c r="E109" s="123"/>
      <c r="F109" s="123"/>
      <c r="G109" s="123"/>
    </row>
    <row r="110" spans="2:7" ht="12.75">
      <c r="B110" s="123"/>
      <c r="C110" s="123"/>
      <c r="D110" s="123"/>
      <c r="E110" s="123"/>
      <c r="F110" s="123"/>
      <c r="G110" s="123"/>
    </row>
    <row r="111" spans="2:7" ht="12.75">
      <c r="B111" s="123"/>
      <c r="C111" s="123"/>
      <c r="D111" s="123"/>
      <c r="E111" s="123"/>
      <c r="F111" s="123"/>
      <c r="G111" s="123"/>
    </row>
    <row r="112" spans="2:7" ht="12.75">
      <c r="B112" s="123"/>
      <c r="C112" s="123"/>
      <c r="D112" s="123"/>
      <c r="E112" s="123"/>
      <c r="F112" s="123"/>
      <c r="G112" s="123"/>
    </row>
    <row r="113" spans="2:7" ht="12.75">
      <c r="B113" s="123"/>
      <c r="C113" s="123"/>
      <c r="D113" s="123"/>
      <c r="E113" s="123"/>
      <c r="F113" s="123"/>
      <c r="G113" s="123"/>
    </row>
    <row r="114" spans="2:7" ht="12.75">
      <c r="B114" s="123"/>
      <c r="C114" s="123"/>
      <c r="D114" s="123"/>
      <c r="E114" s="123"/>
      <c r="F114" s="123"/>
      <c r="G114" s="123"/>
    </row>
    <row r="115" spans="2:7" ht="12.75">
      <c r="B115" s="123"/>
      <c r="C115" s="123"/>
      <c r="D115" s="123"/>
      <c r="E115" s="123"/>
      <c r="F115" s="123"/>
      <c r="G115" s="12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7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8.8515625" style="0" customWidth="1"/>
    <col min="3" max="3" width="7.7109375" style="0" customWidth="1"/>
    <col min="4" max="4" width="7.00390625" style="0" customWidth="1"/>
    <col min="5" max="5" width="49.00390625" style="0" customWidth="1"/>
    <col min="6" max="6" width="12.57421875" style="0" customWidth="1"/>
    <col min="7" max="7" width="11.00390625" style="0" customWidth="1"/>
    <col min="8" max="8" width="10.140625" style="0" customWidth="1"/>
    <col min="9" max="9" width="10.28125" style="0" customWidth="1"/>
    <col min="10" max="10" width="9.57421875" style="0" customWidth="1"/>
    <col min="11" max="11" width="8.28125" style="0" customWidth="1"/>
    <col min="12" max="12" width="12.421875" style="0" customWidth="1"/>
    <col min="13" max="13" width="14.00390625" style="0" customWidth="1"/>
    <col min="14" max="14" width="11.28125" style="0" bestFit="1" customWidth="1"/>
    <col min="15" max="17" width="9.28125" style="0" bestFit="1" customWidth="1"/>
    <col min="18" max="18" width="10.421875" style="0" customWidth="1"/>
    <col min="19" max="19" width="26.7109375" style="0" customWidth="1"/>
    <col min="20" max="20" width="10.57421875" style="0" customWidth="1"/>
    <col min="21" max="21" width="12.7109375" style="0" customWidth="1"/>
    <col min="22" max="22" width="10.421875" style="0" bestFit="1" customWidth="1"/>
    <col min="23" max="23" width="10.8515625" style="0" bestFit="1" customWidth="1"/>
    <col min="24" max="24" width="9.28125" style="0" bestFit="1" customWidth="1"/>
    <col min="25" max="25" width="13.00390625" style="0" customWidth="1"/>
    <col min="31" max="31" width="55.57421875" style="0" customWidth="1"/>
    <col min="32" max="32" width="16.8515625" style="0" customWidth="1"/>
    <col min="33" max="33" width="10.57421875" style="0" customWidth="1"/>
    <col min="34" max="34" width="1.421875" style="0" customWidth="1"/>
    <col min="37" max="37" width="14.00390625" style="0" bestFit="1" customWidth="1"/>
    <col min="38" max="39" width="12.8515625" style="0" bestFit="1" customWidth="1"/>
  </cols>
  <sheetData>
    <row r="1" spans="1:35" ht="12.75">
      <c r="A1" s="1"/>
      <c r="B1" s="2"/>
      <c r="C1" s="2"/>
      <c r="D1" s="3"/>
      <c r="E1" s="3"/>
      <c r="F1" s="3"/>
      <c r="G1" s="3"/>
      <c r="H1" s="3"/>
      <c r="I1" s="3"/>
      <c r="J1" s="3"/>
      <c r="K1" s="3" t="s">
        <v>0</v>
      </c>
      <c r="O1" s="4" t="s">
        <v>1</v>
      </c>
      <c r="P1" s="5"/>
      <c r="Q1" s="6"/>
      <c r="R1" s="5"/>
      <c r="S1" s="7"/>
      <c r="T1" s="7"/>
      <c r="Y1" t="s">
        <v>2</v>
      </c>
      <c r="AC1" s="8"/>
      <c r="AD1" s="8"/>
      <c r="AE1" s="8"/>
      <c r="AF1" s="8"/>
      <c r="AG1" s="8"/>
      <c r="AH1" s="8"/>
      <c r="AI1" s="3"/>
    </row>
    <row r="2" spans="1:35" ht="15">
      <c r="A2" s="4" t="s">
        <v>1</v>
      </c>
      <c r="B2" s="2"/>
      <c r="C2" s="2"/>
      <c r="D2" s="3"/>
      <c r="E2" s="3"/>
      <c r="F2" s="3"/>
      <c r="G2" s="2" t="s">
        <v>3</v>
      </c>
      <c r="H2" s="3"/>
      <c r="I2" s="3"/>
      <c r="J2" s="3"/>
      <c r="K2" s="3"/>
      <c r="O2" s="9"/>
      <c r="P2" s="5"/>
      <c r="Q2" s="6"/>
      <c r="R2" s="5"/>
      <c r="V2" s="7" t="s">
        <v>4</v>
      </c>
      <c r="AC2" s="10"/>
      <c r="AD2" s="11" t="s">
        <v>5</v>
      </c>
      <c r="AE2" s="12"/>
      <c r="AF2" s="13" t="s">
        <v>6</v>
      </c>
      <c r="AG2" s="13"/>
      <c r="AH2" s="14"/>
      <c r="AI2" s="3"/>
    </row>
    <row r="3" spans="1:35" ht="15">
      <c r="A3" s="9"/>
      <c r="B3" s="2"/>
      <c r="C3" s="2"/>
      <c r="D3" s="3"/>
      <c r="E3" s="2" t="s">
        <v>7</v>
      </c>
      <c r="F3" s="2"/>
      <c r="G3" s="3"/>
      <c r="H3" s="3"/>
      <c r="I3" s="3"/>
      <c r="J3" s="3"/>
      <c r="K3" s="3"/>
      <c r="O3" s="3"/>
      <c r="P3" s="3" t="s">
        <v>8</v>
      </c>
      <c r="R3" s="15"/>
      <c r="S3" s="7" t="s">
        <v>9</v>
      </c>
      <c r="T3" s="7"/>
      <c r="AC3" s="16"/>
      <c r="AD3" s="4"/>
      <c r="AE3" s="17"/>
      <c r="AF3" s="18" t="s">
        <v>10</v>
      </c>
      <c r="AG3" s="19"/>
      <c r="AH3" s="20"/>
      <c r="AI3" s="3"/>
    </row>
    <row r="4" spans="1:35" ht="15">
      <c r="A4" s="3"/>
      <c r="B4" s="1" t="s">
        <v>8</v>
      </c>
      <c r="C4" s="184"/>
      <c r="D4" s="351"/>
      <c r="E4" s="184"/>
      <c r="F4" s="442"/>
      <c r="G4" s="442"/>
      <c r="H4" s="442"/>
      <c r="I4" s="442"/>
      <c r="J4" s="442"/>
      <c r="K4" s="442"/>
      <c r="O4" s="3" t="s">
        <v>11</v>
      </c>
      <c r="P4" s="3"/>
      <c r="R4" s="15"/>
      <c r="S4" s="15"/>
      <c r="T4" s="15"/>
      <c r="AC4" s="22"/>
      <c r="AD4" s="9"/>
      <c r="AE4" s="23"/>
      <c r="AF4" s="24" t="s">
        <v>12</v>
      </c>
      <c r="AG4" s="25"/>
      <c r="AH4" s="11"/>
      <c r="AI4" s="3"/>
    </row>
    <row r="5" spans="1:35" ht="15">
      <c r="A5" s="3" t="s">
        <v>11</v>
      </c>
      <c r="B5" s="3"/>
      <c r="C5" s="184"/>
      <c r="D5" s="351"/>
      <c r="E5" s="351"/>
      <c r="F5" s="442"/>
      <c r="G5" s="442"/>
      <c r="H5" s="442"/>
      <c r="I5" s="442"/>
      <c r="J5" s="442"/>
      <c r="K5" s="442"/>
      <c r="O5" s="26"/>
      <c r="P5" s="15"/>
      <c r="R5" s="15"/>
      <c r="AC5" s="22"/>
      <c r="AD5" s="25"/>
      <c r="AE5" s="27"/>
      <c r="AF5" s="27"/>
      <c r="AG5" s="27"/>
      <c r="AH5" s="28"/>
      <c r="AI5" s="29"/>
    </row>
    <row r="6" spans="1:35" ht="15">
      <c r="A6" s="3"/>
      <c r="B6" s="3"/>
      <c r="C6" s="184"/>
      <c r="D6" s="351"/>
      <c r="E6" s="351"/>
      <c r="F6" s="442"/>
      <c r="G6" s="442"/>
      <c r="H6" s="442"/>
      <c r="I6" s="442"/>
      <c r="J6" s="442"/>
      <c r="K6" s="442"/>
      <c r="O6" s="26"/>
      <c r="P6" s="15"/>
      <c r="R6" s="15"/>
      <c r="AC6" s="22"/>
      <c r="AD6" s="25"/>
      <c r="AE6" s="27"/>
      <c r="AF6" s="27"/>
      <c r="AG6" s="27"/>
      <c r="AH6" s="28"/>
      <c r="AI6" s="29"/>
    </row>
    <row r="7" spans="1:35" ht="15">
      <c r="A7" s="1"/>
      <c r="B7" s="2"/>
      <c r="C7" s="2"/>
      <c r="D7" s="3"/>
      <c r="E7" s="3"/>
      <c r="F7" s="208"/>
      <c r="G7" s="208"/>
      <c r="H7" s="208"/>
      <c r="I7" s="208"/>
      <c r="J7" s="208"/>
      <c r="K7" s="208"/>
      <c r="O7" s="26"/>
      <c r="P7" s="15"/>
      <c r="R7" s="15"/>
      <c r="AC7" s="22"/>
      <c r="AD7" s="3"/>
      <c r="AE7" s="3" t="s">
        <v>8</v>
      </c>
      <c r="AF7" s="3"/>
      <c r="AG7" s="3"/>
      <c r="AH7" s="31"/>
      <c r="AI7" s="3"/>
    </row>
    <row r="8" spans="1:35" ht="15">
      <c r="A8" s="29"/>
      <c r="B8" s="2"/>
      <c r="C8" s="2"/>
      <c r="D8" s="32"/>
      <c r="E8" s="29" t="s">
        <v>13</v>
      </c>
      <c r="F8" s="443"/>
      <c r="G8" s="473"/>
      <c r="H8" s="473"/>
      <c r="I8" s="473"/>
      <c r="J8" s="473"/>
      <c r="K8" s="473"/>
      <c r="O8" s="26"/>
      <c r="P8" s="15"/>
      <c r="R8" s="15"/>
      <c r="AC8" s="22"/>
      <c r="AD8" s="3" t="s">
        <v>11</v>
      </c>
      <c r="AE8" s="3"/>
      <c r="AF8" s="3"/>
      <c r="AG8" s="3"/>
      <c r="AH8" s="11"/>
      <c r="AI8" s="3"/>
    </row>
    <row r="9" spans="1:35" ht="15.75">
      <c r="A9" s="1"/>
      <c r="B9" s="2"/>
      <c r="C9" s="2"/>
      <c r="D9" s="3"/>
      <c r="E9" s="7" t="s">
        <v>321</v>
      </c>
      <c r="F9" s="438"/>
      <c r="G9" s="171" t="s">
        <v>350</v>
      </c>
      <c r="H9" s="197"/>
      <c r="I9" s="197"/>
      <c r="J9" s="197"/>
      <c r="K9" s="197"/>
      <c r="O9" s="26"/>
      <c r="P9" s="15"/>
      <c r="R9" s="15"/>
      <c r="S9" s="33" t="s">
        <v>14</v>
      </c>
      <c r="T9" s="33"/>
      <c r="AC9" s="22"/>
      <c r="AD9" s="34"/>
      <c r="AE9" s="8"/>
      <c r="AF9" s="35"/>
      <c r="AG9" s="25"/>
      <c r="AH9" s="11"/>
      <c r="AI9" s="2"/>
    </row>
    <row r="10" spans="1:35" ht="16.5" thickBot="1">
      <c r="A10" s="356"/>
      <c r="B10" s="2"/>
      <c r="C10" s="2"/>
      <c r="D10" s="3"/>
      <c r="E10" s="30"/>
      <c r="F10" s="30"/>
      <c r="G10" s="3"/>
      <c r="H10" s="3"/>
      <c r="I10" s="3"/>
      <c r="J10" s="3"/>
      <c r="K10" s="3" t="s">
        <v>15</v>
      </c>
      <c r="O10" s="26"/>
      <c r="P10" s="15"/>
      <c r="R10" s="15"/>
      <c r="S10" s="15" t="s">
        <v>16</v>
      </c>
      <c r="T10" s="15"/>
      <c r="AC10" s="36"/>
      <c r="AD10" s="34"/>
      <c r="AE10" s="37"/>
      <c r="AF10" s="38"/>
      <c r="AG10" s="38"/>
      <c r="AH10" s="25"/>
      <c r="AI10" s="3"/>
    </row>
    <row r="11" spans="1:38" ht="31.5" customHeight="1" thickBot="1">
      <c r="A11" s="357" t="s">
        <v>17</v>
      </c>
      <c r="B11" s="358" t="s">
        <v>18</v>
      </c>
      <c r="C11" s="358" t="s">
        <v>19</v>
      </c>
      <c r="D11" s="358" t="s">
        <v>20</v>
      </c>
      <c r="E11" s="358" t="s">
        <v>21</v>
      </c>
      <c r="F11" s="39" t="s">
        <v>22</v>
      </c>
      <c r="G11" s="39" t="s">
        <v>23</v>
      </c>
      <c r="H11" s="358" t="s">
        <v>24</v>
      </c>
      <c r="I11" s="358" t="s">
        <v>25</v>
      </c>
      <c r="J11" s="358" t="s">
        <v>26</v>
      </c>
      <c r="K11" s="474" t="s">
        <v>27</v>
      </c>
      <c r="M11" s="40"/>
      <c r="O11" s="26"/>
      <c r="P11" s="15"/>
      <c r="R11" s="15"/>
      <c r="Y11" t="s">
        <v>15</v>
      </c>
      <c r="AC11" s="36"/>
      <c r="AD11" s="25"/>
      <c r="AE11" s="38"/>
      <c r="AF11" s="38"/>
      <c r="AG11" s="38"/>
      <c r="AH11" s="25"/>
      <c r="AI11" s="3"/>
      <c r="AK11" s="41"/>
      <c r="AL11" s="41"/>
    </row>
    <row r="12" spans="1:38" ht="39" thickBot="1">
      <c r="A12" s="362" t="s">
        <v>28</v>
      </c>
      <c r="B12" s="363" t="s">
        <v>29</v>
      </c>
      <c r="C12" s="363" t="s">
        <v>30</v>
      </c>
      <c r="D12" s="363" t="s">
        <v>31</v>
      </c>
      <c r="E12" s="363" t="s">
        <v>32</v>
      </c>
      <c r="F12" s="363"/>
      <c r="G12" s="445">
        <v>1</v>
      </c>
      <c r="H12" s="363">
        <v>2</v>
      </c>
      <c r="I12" s="363">
        <v>3</v>
      </c>
      <c r="J12" s="363">
        <v>4</v>
      </c>
      <c r="K12" s="475">
        <v>5</v>
      </c>
      <c r="M12" s="349"/>
      <c r="O12" s="42" t="s">
        <v>33</v>
      </c>
      <c r="P12" s="43" t="s">
        <v>18</v>
      </c>
      <c r="Q12" s="44" t="s">
        <v>19</v>
      </c>
      <c r="R12" s="43" t="s">
        <v>20</v>
      </c>
      <c r="S12" s="45" t="s">
        <v>21</v>
      </c>
      <c r="T12" s="39" t="s">
        <v>22</v>
      </c>
      <c r="U12" s="46" t="s">
        <v>23</v>
      </c>
      <c r="V12" s="45" t="s">
        <v>24</v>
      </c>
      <c r="W12" s="47" t="s">
        <v>25</v>
      </c>
      <c r="X12" s="45" t="s">
        <v>26</v>
      </c>
      <c r="Y12" s="48" t="s">
        <v>27</v>
      </c>
      <c r="AC12" s="36"/>
      <c r="AD12" s="8"/>
      <c r="AE12" s="8"/>
      <c r="AF12" s="8"/>
      <c r="AG12" s="8"/>
      <c r="AH12" s="8"/>
      <c r="AI12" s="3"/>
      <c r="AK12" s="41"/>
      <c r="AL12" s="41"/>
    </row>
    <row r="13" spans="1:38" ht="16.5" thickBot="1">
      <c r="A13" s="367">
        <v>1</v>
      </c>
      <c r="B13" s="368"/>
      <c r="C13" s="368"/>
      <c r="D13" s="369"/>
      <c r="E13" s="370" t="s">
        <v>34</v>
      </c>
      <c r="F13" s="49">
        <f>F14+F36+F41</f>
        <v>0</v>
      </c>
      <c r="G13" s="50">
        <f aca="true" t="shared" si="0" ref="G13:G61">H13+I13+J13+K13</f>
        <v>83608.67</v>
      </c>
      <c r="H13" s="49">
        <f>H14+H36+H41</f>
        <v>36549.6</v>
      </c>
      <c r="I13" s="49">
        <f>I14+I36+I41</f>
        <v>37654.37</v>
      </c>
      <c r="J13" s="49">
        <f>J14+J36+J41</f>
        <v>9404.7</v>
      </c>
      <c r="K13" s="49">
        <f>K14+K36+K41</f>
        <v>0</v>
      </c>
      <c r="L13" s="21"/>
      <c r="M13" s="51"/>
      <c r="O13" s="52" t="s">
        <v>28</v>
      </c>
      <c r="P13" s="53" t="s">
        <v>29</v>
      </c>
      <c r="Q13" s="54" t="s">
        <v>30</v>
      </c>
      <c r="R13" s="53" t="s">
        <v>31</v>
      </c>
      <c r="S13" s="54" t="s">
        <v>32</v>
      </c>
      <c r="T13" s="54"/>
      <c r="U13" s="53">
        <v>1</v>
      </c>
      <c r="V13" s="54">
        <v>2</v>
      </c>
      <c r="W13" s="53">
        <v>3</v>
      </c>
      <c r="X13" s="54">
        <v>4</v>
      </c>
      <c r="Y13" s="55">
        <v>5</v>
      </c>
      <c r="AC13" s="36"/>
      <c r="AD13" s="8"/>
      <c r="AE13" s="34" t="s">
        <v>35</v>
      </c>
      <c r="AF13" s="8"/>
      <c r="AG13" s="8"/>
      <c r="AH13" s="8"/>
      <c r="AI13" s="3"/>
      <c r="AK13" s="41"/>
      <c r="AL13" s="41"/>
    </row>
    <row r="14" spans="1:38" ht="15.75">
      <c r="A14" s="367">
        <f aca="true" t="shared" si="1" ref="A14:A61">A13+1</f>
        <v>2</v>
      </c>
      <c r="B14" s="368"/>
      <c r="C14" s="368"/>
      <c r="D14" s="369"/>
      <c r="E14" s="370" t="s">
        <v>36</v>
      </c>
      <c r="F14" s="49">
        <f>F15</f>
        <v>0</v>
      </c>
      <c r="G14" s="50">
        <f t="shared" si="0"/>
        <v>50023.840000000004</v>
      </c>
      <c r="H14" s="49">
        <f>H15</f>
        <v>24403.129999999997</v>
      </c>
      <c r="I14" s="49">
        <f>I15</f>
        <v>20977.670000000002</v>
      </c>
      <c r="J14" s="49">
        <f>J15</f>
        <v>4643.04</v>
      </c>
      <c r="K14" s="49">
        <f>K15</f>
        <v>0</v>
      </c>
      <c r="L14" s="21"/>
      <c r="M14" s="21"/>
      <c r="O14" s="56">
        <v>1</v>
      </c>
      <c r="P14" s="57"/>
      <c r="Q14" s="58"/>
      <c r="R14" s="57"/>
      <c r="S14" s="59" t="s">
        <v>37</v>
      </c>
      <c r="T14" s="60">
        <f>SUM(T15:T19)</f>
        <v>0</v>
      </c>
      <c r="U14" s="60">
        <f aca="true" t="shared" si="2" ref="U14:U19">V14+W14+X14+Y14</f>
        <v>116.47999999999999</v>
      </c>
      <c r="V14" s="60">
        <f>V15+V16+V17+V18+V19</f>
        <v>60</v>
      </c>
      <c r="W14" s="60">
        <f>W15+W16+W17+W18+W19</f>
        <v>56.48</v>
      </c>
      <c r="X14" s="60">
        <f>X15+X16+X17+X18+X19</f>
        <v>0</v>
      </c>
      <c r="Y14" s="61">
        <f>Y15+Y16+Y17+Y18+Y19</f>
        <v>0</v>
      </c>
      <c r="AC14" s="36"/>
      <c r="AD14" s="8"/>
      <c r="AE14" s="37" t="s">
        <v>38</v>
      </c>
      <c r="AF14" s="8"/>
      <c r="AG14" s="8"/>
      <c r="AH14" s="8"/>
      <c r="AI14" s="3"/>
      <c r="AK14" s="41"/>
      <c r="AL14" s="41"/>
    </row>
    <row r="15" spans="1:38" ht="12.75">
      <c r="A15" s="367">
        <f t="shared" si="1"/>
        <v>3</v>
      </c>
      <c r="B15" s="368"/>
      <c r="C15" s="368"/>
      <c r="D15" s="369"/>
      <c r="E15" s="59" t="s">
        <v>39</v>
      </c>
      <c r="F15" s="49">
        <f>F16+F19</f>
        <v>0</v>
      </c>
      <c r="G15" s="50">
        <f>H15+I15+J15+K15</f>
        <v>50023.840000000004</v>
      </c>
      <c r="H15" s="49">
        <f>H16+H19</f>
        <v>24403.129999999997</v>
      </c>
      <c r="I15" s="49">
        <f>I16+I19</f>
        <v>20977.670000000002</v>
      </c>
      <c r="J15" s="49">
        <f>J16+J19</f>
        <v>4643.04</v>
      </c>
      <c r="K15" s="49">
        <f>K16+K19</f>
        <v>0</v>
      </c>
      <c r="L15" s="21"/>
      <c r="O15" s="62">
        <v>2</v>
      </c>
      <c r="P15" s="63" t="s">
        <v>40</v>
      </c>
      <c r="Q15" s="64" t="s">
        <v>41</v>
      </c>
      <c r="R15" s="65"/>
      <c r="S15" s="66" t="s">
        <v>42</v>
      </c>
      <c r="T15" s="67"/>
      <c r="U15" s="68">
        <f t="shared" si="2"/>
        <v>116.47999999999999</v>
      </c>
      <c r="V15" s="69">
        <v>60</v>
      </c>
      <c r="W15" s="69">
        <v>56.48</v>
      </c>
      <c r="X15" s="69"/>
      <c r="Y15" s="69"/>
      <c r="AC15" s="36"/>
      <c r="AD15" s="8"/>
      <c r="AE15" s="7" t="s">
        <v>43</v>
      </c>
      <c r="AF15" s="8"/>
      <c r="AG15" s="8"/>
      <c r="AH15" s="8"/>
      <c r="AI15" s="70"/>
      <c r="AK15" s="41"/>
      <c r="AL15" s="41"/>
    </row>
    <row r="16" spans="1:38" ht="12.75">
      <c r="A16" s="367">
        <f t="shared" si="1"/>
        <v>4</v>
      </c>
      <c r="B16" s="372" t="s">
        <v>44</v>
      </c>
      <c r="C16" s="368"/>
      <c r="D16" s="369"/>
      <c r="E16" s="59" t="s">
        <v>45</v>
      </c>
      <c r="F16" s="49">
        <f>F17+F18</f>
        <v>0</v>
      </c>
      <c r="G16" s="50">
        <f t="shared" si="0"/>
        <v>116.47999999999999</v>
      </c>
      <c r="H16" s="49">
        <f>H17+H18</f>
        <v>60</v>
      </c>
      <c r="I16" s="49">
        <f>I17+I18</f>
        <v>56.48</v>
      </c>
      <c r="J16" s="49">
        <f>J17+J18</f>
        <v>0</v>
      </c>
      <c r="K16" s="49">
        <f>K17+K18</f>
        <v>0</v>
      </c>
      <c r="L16" s="21"/>
      <c r="O16" s="71">
        <v>3</v>
      </c>
      <c r="P16" s="72" t="s">
        <v>46</v>
      </c>
      <c r="Q16" s="73" t="s">
        <v>47</v>
      </c>
      <c r="R16" s="74"/>
      <c r="S16" s="75" t="s">
        <v>48</v>
      </c>
      <c r="T16" s="67"/>
      <c r="U16" s="68">
        <f t="shared" si="2"/>
        <v>0</v>
      </c>
      <c r="V16" s="76">
        <v>0</v>
      </c>
      <c r="W16" s="76"/>
      <c r="X16" s="76">
        <v>0</v>
      </c>
      <c r="Y16" s="77"/>
      <c r="AC16" s="36"/>
      <c r="AD16" s="8"/>
      <c r="AE16" s="8"/>
      <c r="AF16" s="8"/>
      <c r="AG16" s="8"/>
      <c r="AH16" s="8"/>
      <c r="AI16" s="70"/>
      <c r="AK16" s="41"/>
      <c r="AL16" s="41"/>
    </row>
    <row r="17" spans="1:38" ht="12.75">
      <c r="A17" s="367">
        <f t="shared" si="1"/>
        <v>5</v>
      </c>
      <c r="B17" s="368"/>
      <c r="C17" s="373" t="s">
        <v>41</v>
      </c>
      <c r="D17" s="374"/>
      <c r="E17" s="78" t="s">
        <v>49</v>
      </c>
      <c r="F17" s="375"/>
      <c r="G17" s="79">
        <f t="shared" si="0"/>
        <v>116.47999999999999</v>
      </c>
      <c r="H17" s="375">
        <v>60</v>
      </c>
      <c r="I17" s="375">
        <f>60-3.52</f>
        <v>56.48</v>
      </c>
      <c r="J17" s="375">
        <v>0</v>
      </c>
      <c r="K17" s="375">
        <v>0</v>
      </c>
      <c r="L17" s="21">
        <v>255.92</v>
      </c>
      <c r="M17" s="21">
        <f>L17-G17</f>
        <v>139.44</v>
      </c>
      <c r="O17" s="62">
        <v>4</v>
      </c>
      <c r="P17" s="63" t="s">
        <v>50</v>
      </c>
      <c r="Q17" s="80">
        <v>50</v>
      </c>
      <c r="R17" s="65"/>
      <c r="S17" s="75" t="s">
        <v>51</v>
      </c>
      <c r="T17" s="67"/>
      <c r="U17" s="68"/>
      <c r="V17" s="76"/>
      <c r="W17" s="76"/>
      <c r="X17" s="76"/>
      <c r="Y17" s="77"/>
      <c r="AC17" s="36"/>
      <c r="AD17" s="8"/>
      <c r="AE17" s="8"/>
      <c r="AF17" s="8"/>
      <c r="AG17" s="8"/>
      <c r="AH17" s="8"/>
      <c r="AI17" s="70"/>
      <c r="AK17" s="41"/>
      <c r="AL17" s="41"/>
    </row>
    <row r="18" spans="1:39" ht="15">
      <c r="A18" s="367">
        <f>A17+1</f>
        <v>6</v>
      </c>
      <c r="B18" s="368"/>
      <c r="C18" s="374">
        <v>50</v>
      </c>
      <c r="D18" s="374"/>
      <c r="E18" s="78" t="s">
        <v>52</v>
      </c>
      <c r="F18" s="375"/>
      <c r="G18" s="79">
        <f t="shared" si="0"/>
        <v>0</v>
      </c>
      <c r="H18" s="375">
        <v>0</v>
      </c>
      <c r="I18" s="375">
        <v>0</v>
      </c>
      <c r="J18" s="375">
        <v>0</v>
      </c>
      <c r="K18" s="375">
        <v>0</v>
      </c>
      <c r="L18" s="21">
        <v>0</v>
      </c>
      <c r="M18" s="21">
        <f aca="true" t="shared" si="3" ref="M18:M61">L18-G18</f>
        <v>0</v>
      </c>
      <c r="O18" s="71">
        <v>5</v>
      </c>
      <c r="P18" s="65"/>
      <c r="Q18" s="80"/>
      <c r="R18" s="65"/>
      <c r="S18" s="81" t="s">
        <v>53</v>
      </c>
      <c r="T18" s="82"/>
      <c r="U18" s="68">
        <f t="shared" si="2"/>
        <v>0</v>
      </c>
      <c r="V18" s="76"/>
      <c r="W18" s="76"/>
      <c r="X18" s="76"/>
      <c r="Y18" s="77"/>
      <c r="AC18" s="36"/>
      <c r="AD18" s="11"/>
      <c r="AE18" s="35" t="s">
        <v>54</v>
      </c>
      <c r="AF18" s="38"/>
      <c r="AG18" s="38"/>
      <c r="AH18" s="25"/>
      <c r="AI18" s="70"/>
      <c r="AK18" s="83"/>
      <c r="AL18" s="41"/>
      <c r="AM18" s="83"/>
    </row>
    <row r="19" spans="1:38" ht="13.5" thickBot="1">
      <c r="A19" s="367">
        <f t="shared" si="1"/>
        <v>7</v>
      </c>
      <c r="B19" s="368"/>
      <c r="C19" s="368"/>
      <c r="D19" s="369"/>
      <c r="E19" s="59" t="s">
        <v>55</v>
      </c>
      <c r="F19" s="49">
        <f>F20+F32</f>
        <v>0</v>
      </c>
      <c r="G19" s="50">
        <f t="shared" si="0"/>
        <v>49907.36</v>
      </c>
      <c r="H19" s="49">
        <f>H20+H32</f>
        <v>24343.129999999997</v>
      </c>
      <c r="I19" s="49">
        <f>I20+I32</f>
        <v>20921.190000000002</v>
      </c>
      <c r="J19" s="49">
        <f>J20+J32</f>
        <v>4643.04</v>
      </c>
      <c r="K19" s="49">
        <f>K20+K32</f>
        <v>0</v>
      </c>
      <c r="L19" s="21">
        <v>104969.25</v>
      </c>
      <c r="M19" s="21">
        <f t="shared" si="3"/>
        <v>55061.89</v>
      </c>
      <c r="O19" s="62">
        <v>6</v>
      </c>
      <c r="P19" s="74"/>
      <c r="Q19" s="84"/>
      <c r="R19" s="74"/>
      <c r="S19" s="75" t="s">
        <v>56</v>
      </c>
      <c r="T19" s="67"/>
      <c r="U19" s="68">
        <f t="shared" si="2"/>
        <v>0</v>
      </c>
      <c r="V19" s="76"/>
      <c r="W19" s="76"/>
      <c r="X19" s="76"/>
      <c r="Y19" s="77"/>
      <c r="AC19" s="36"/>
      <c r="AD19" s="25"/>
      <c r="AE19" s="38"/>
      <c r="AF19" s="38"/>
      <c r="AG19" s="38"/>
      <c r="AH19" s="25"/>
      <c r="AI19" s="70"/>
      <c r="AL19" s="41"/>
    </row>
    <row r="20" spans="1:38" ht="12.75">
      <c r="A20" s="367">
        <f t="shared" si="1"/>
        <v>8</v>
      </c>
      <c r="B20" s="372" t="s">
        <v>57</v>
      </c>
      <c r="C20" s="368"/>
      <c r="D20" s="369"/>
      <c r="E20" s="85" t="s">
        <v>58</v>
      </c>
      <c r="F20" s="49">
        <f>F21+F22+F23+F24+F31</f>
        <v>0</v>
      </c>
      <c r="G20" s="50">
        <f t="shared" si="0"/>
        <v>49907.36</v>
      </c>
      <c r="H20" s="49">
        <f>H21+H22+H23+H25+H26+H27+H24+H31</f>
        <v>24343.129999999997</v>
      </c>
      <c r="I20" s="49">
        <f>I21+I22+I23+I25+I26+I27+I24+I31</f>
        <v>20921.190000000002</v>
      </c>
      <c r="J20" s="49">
        <f>J21+J22+J23+J25+J26+J27+J24+J31</f>
        <v>4643.04</v>
      </c>
      <c r="K20" s="49">
        <f>K21+K22+K23+K25+K26+K27+K24+K31</f>
        <v>0</v>
      </c>
      <c r="L20" s="21">
        <v>104969.25</v>
      </c>
      <c r="M20" s="21">
        <f t="shared" si="3"/>
        <v>55061.89</v>
      </c>
      <c r="O20" s="71">
        <v>7</v>
      </c>
      <c r="P20" s="86" t="s">
        <v>59</v>
      </c>
      <c r="Q20" s="87" t="s">
        <v>60</v>
      </c>
      <c r="R20" s="86" t="s">
        <v>61</v>
      </c>
      <c r="S20" s="88" t="s">
        <v>21</v>
      </c>
      <c r="T20" s="88"/>
      <c r="U20" s="59"/>
      <c r="V20" s="88"/>
      <c r="W20" s="59"/>
      <c r="X20" s="88"/>
      <c r="Y20" s="89"/>
      <c r="AC20" s="36"/>
      <c r="AD20" s="90" t="s">
        <v>62</v>
      </c>
      <c r="AE20" s="91" t="s">
        <v>63</v>
      </c>
      <c r="AF20" s="91" t="s">
        <v>64</v>
      </c>
      <c r="AG20" s="38"/>
      <c r="AH20" s="25"/>
      <c r="AI20" s="70"/>
      <c r="AL20" s="83"/>
    </row>
    <row r="21" spans="1:37" ht="12.75">
      <c r="A21" s="367">
        <f t="shared" si="1"/>
        <v>9</v>
      </c>
      <c r="B21" s="368"/>
      <c r="C21" s="373" t="s">
        <v>65</v>
      </c>
      <c r="D21" s="369"/>
      <c r="E21" s="66" t="s">
        <v>66</v>
      </c>
      <c r="F21" s="375"/>
      <c r="G21" s="79">
        <f t="shared" si="0"/>
        <v>2880</v>
      </c>
      <c r="H21" s="375">
        <v>951.2</v>
      </c>
      <c r="I21" s="375">
        <v>1548.8</v>
      </c>
      <c r="J21" s="375">
        <v>380</v>
      </c>
      <c r="K21" s="375">
        <v>0</v>
      </c>
      <c r="L21" s="21">
        <v>3751.47</v>
      </c>
      <c r="M21" s="21">
        <f t="shared" si="3"/>
        <v>871.4699999999998</v>
      </c>
      <c r="O21" s="62">
        <v>8</v>
      </c>
      <c r="P21" s="86"/>
      <c r="Q21" s="87"/>
      <c r="R21" s="86"/>
      <c r="S21" s="92" t="s">
        <v>67</v>
      </c>
      <c r="T21" s="93">
        <f aca="true" t="shared" si="4" ref="T21:Y23">T22</f>
        <v>0</v>
      </c>
      <c r="U21" s="60">
        <f aca="true" t="shared" si="5" ref="U21:U28">V21+W21+X21+Y21</f>
        <v>225.45</v>
      </c>
      <c r="V21" s="93">
        <f t="shared" si="4"/>
        <v>60</v>
      </c>
      <c r="W21" s="93">
        <f t="shared" si="4"/>
        <v>165.45</v>
      </c>
      <c r="X21" s="93">
        <f t="shared" si="4"/>
        <v>0</v>
      </c>
      <c r="Y21" s="94">
        <f t="shared" si="4"/>
        <v>0</v>
      </c>
      <c r="AC21" s="36"/>
      <c r="AD21" s="95" t="s">
        <v>68</v>
      </c>
      <c r="AE21" s="96"/>
      <c r="AF21" s="96" t="s">
        <v>69</v>
      </c>
      <c r="AG21" s="38"/>
      <c r="AH21" s="25"/>
      <c r="AI21" s="70"/>
      <c r="AK21" s="41"/>
    </row>
    <row r="22" spans="1:37" ht="25.5">
      <c r="A22" s="367">
        <f t="shared" si="1"/>
        <v>10</v>
      </c>
      <c r="B22" s="368"/>
      <c r="C22" s="374">
        <v>16</v>
      </c>
      <c r="D22" s="369"/>
      <c r="E22" s="97" t="s">
        <v>70</v>
      </c>
      <c r="F22" s="375"/>
      <c r="G22" s="79">
        <f t="shared" si="0"/>
        <v>11</v>
      </c>
      <c r="H22" s="375">
        <v>4</v>
      </c>
      <c r="I22" s="375">
        <v>5</v>
      </c>
      <c r="J22" s="375">
        <v>2</v>
      </c>
      <c r="K22" s="375">
        <v>0</v>
      </c>
      <c r="L22" s="21">
        <v>13.97</v>
      </c>
      <c r="M22" s="21">
        <f t="shared" si="3"/>
        <v>2.9700000000000006</v>
      </c>
      <c r="O22" s="62">
        <v>9</v>
      </c>
      <c r="P22" s="98">
        <v>70</v>
      </c>
      <c r="Q22" s="99"/>
      <c r="R22" s="98"/>
      <c r="S22" s="59" t="s">
        <v>71</v>
      </c>
      <c r="T22" s="60">
        <f t="shared" si="4"/>
        <v>0</v>
      </c>
      <c r="U22" s="60">
        <f t="shared" si="5"/>
        <v>225.45</v>
      </c>
      <c r="V22" s="60">
        <f t="shared" si="4"/>
        <v>60</v>
      </c>
      <c r="W22" s="60">
        <f t="shared" si="4"/>
        <v>165.45</v>
      </c>
      <c r="X22" s="60">
        <f t="shared" si="4"/>
        <v>0</v>
      </c>
      <c r="Y22" s="61">
        <f t="shared" si="4"/>
        <v>0</v>
      </c>
      <c r="AC22" s="36"/>
      <c r="AD22" s="100">
        <v>1</v>
      </c>
      <c r="AE22" s="101" t="s">
        <v>72</v>
      </c>
      <c r="AF22" s="200">
        <f>SUM(AF23+AF27)</f>
        <v>2878.5</v>
      </c>
      <c r="AG22" s="38"/>
      <c r="AH22" s="25"/>
      <c r="AI22" s="70"/>
      <c r="AK22" s="41"/>
    </row>
    <row r="23" spans="1:37" ht="12.75">
      <c r="A23" s="367">
        <f t="shared" si="1"/>
        <v>11</v>
      </c>
      <c r="B23" s="368"/>
      <c r="C23" s="374">
        <v>20</v>
      </c>
      <c r="D23" s="369"/>
      <c r="E23" s="66" t="s">
        <v>73</v>
      </c>
      <c r="F23" s="375"/>
      <c r="G23" s="79">
        <f t="shared" si="0"/>
        <v>1800</v>
      </c>
      <c r="H23" s="375">
        <v>765.9</v>
      </c>
      <c r="I23" s="375">
        <v>634.1</v>
      </c>
      <c r="J23" s="375">
        <v>400</v>
      </c>
      <c r="K23" s="375">
        <v>0</v>
      </c>
      <c r="L23" s="21">
        <v>1572.7</v>
      </c>
      <c r="M23" s="21">
        <f t="shared" si="3"/>
        <v>-227.29999999999995</v>
      </c>
      <c r="O23" s="62">
        <f aca="true" t="shared" si="6" ref="O23:O28">O22+1</f>
        <v>10</v>
      </c>
      <c r="P23" s="86">
        <v>71</v>
      </c>
      <c r="Q23" s="87"/>
      <c r="R23" s="86"/>
      <c r="S23" s="59" t="s">
        <v>74</v>
      </c>
      <c r="T23" s="60">
        <f t="shared" si="4"/>
        <v>0</v>
      </c>
      <c r="U23" s="60">
        <f t="shared" si="5"/>
        <v>225.45</v>
      </c>
      <c r="V23" s="60">
        <f t="shared" si="4"/>
        <v>60</v>
      </c>
      <c r="W23" s="60">
        <f t="shared" si="4"/>
        <v>165.45</v>
      </c>
      <c r="X23" s="60">
        <f t="shared" si="4"/>
        <v>0</v>
      </c>
      <c r="Y23" s="61">
        <f t="shared" si="4"/>
        <v>0</v>
      </c>
      <c r="AC23" s="36"/>
      <c r="AD23" s="100">
        <v>2</v>
      </c>
      <c r="AE23" s="102" t="s">
        <v>75</v>
      </c>
      <c r="AF23" s="200">
        <f>SUM(AF24:AF26)</f>
        <v>2207.5</v>
      </c>
      <c r="AG23" s="38"/>
      <c r="AH23" s="25"/>
      <c r="AI23" s="70"/>
      <c r="AK23" s="41"/>
    </row>
    <row r="24" spans="1:37" ht="12.75">
      <c r="A24" s="367">
        <f t="shared" si="1"/>
        <v>12</v>
      </c>
      <c r="B24" s="368"/>
      <c r="C24" s="374">
        <v>21</v>
      </c>
      <c r="D24" s="369"/>
      <c r="E24" s="66" t="s">
        <v>76</v>
      </c>
      <c r="F24" s="375"/>
      <c r="G24" s="79">
        <f t="shared" si="0"/>
        <v>45200.16</v>
      </c>
      <c r="H24" s="375">
        <v>22618.66</v>
      </c>
      <c r="I24" s="375">
        <v>18724.66</v>
      </c>
      <c r="J24" s="375">
        <v>3856.84</v>
      </c>
      <c r="K24" s="375">
        <v>0</v>
      </c>
      <c r="L24" s="21">
        <v>99603.27</v>
      </c>
      <c r="M24" s="21">
        <f t="shared" si="3"/>
        <v>54403.11</v>
      </c>
      <c r="O24" s="62">
        <f t="shared" si="6"/>
        <v>11</v>
      </c>
      <c r="P24" s="86">
        <v>71</v>
      </c>
      <c r="Q24" s="64" t="s">
        <v>47</v>
      </c>
      <c r="R24" s="65"/>
      <c r="S24" s="59" t="s">
        <v>77</v>
      </c>
      <c r="T24" s="60">
        <f>SUM(T25:T27)</f>
        <v>0</v>
      </c>
      <c r="U24" s="60">
        <f t="shared" si="5"/>
        <v>225.45</v>
      </c>
      <c r="V24" s="60">
        <f>SUM(V25:V27)</f>
        <v>60</v>
      </c>
      <c r="W24" s="60">
        <f>SUM(W25:W27)</f>
        <v>165.45</v>
      </c>
      <c r="X24" s="60">
        <f>SUM(X25:X27)</f>
        <v>0</v>
      </c>
      <c r="Y24" s="61">
        <f>SUM(Y25:Y27)</f>
        <v>0</v>
      </c>
      <c r="AC24" s="36"/>
      <c r="AD24" s="100">
        <v>2.1</v>
      </c>
      <c r="AE24" s="101" t="s">
        <v>78</v>
      </c>
      <c r="AF24" s="201">
        <v>1113.5</v>
      </c>
      <c r="AG24" s="38"/>
      <c r="AH24" s="25"/>
      <c r="AI24" s="70"/>
      <c r="AK24" s="41"/>
    </row>
    <row r="25" spans="1:37" ht="25.5">
      <c r="A25" s="367">
        <f t="shared" si="1"/>
        <v>13</v>
      </c>
      <c r="B25" s="368"/>
      <c r="C25" s="374">
        <v>30</v>
      </c>
      <c r="D25" s="369"/>
      <c r="E25" s="97" t="s">
        <v>79</v>
      </c>
      <c r="F25" s="376"/>
      <c r="G25" s="79">
        <f t="shared" si="0"/>
        <v>0</v>
      </c>
      <c r="H25" s="375"/>
      <c r="I25" s="375"/>
      <c r="J25" s="375"/>
      <c r="K25" s="375"/>
      <c r="L25" s="21">
        <v>0</v>
      </c>
      <c r="M25" s="21">
        <f t="shared" si="3"/>
        <v>0</v>
      </c>
      <c r="O25" s="62">
        <f t="shared" si="6"/>
        <v>12</v>
      </c>
      <c r="P25" s="74"/>
      <c r="Q25" s="84"/>
      <c r="R25" s="72" t="s">
        <v>80</v>
      </c>
      <c r="S25" s="66" t="s">
        <v>81</v>
      </c>
      <c r="T25" s="67"/>
      <c r="U25" s="68">
        <f t="shared" si="5"/>
        <v>225.45</v>
      </c>
      <c r="V25" s="69">
        <v>60</v>
      </c>
      <c r="W25" s="69">
        <v>165.45</v>
      </c>
      <c r="X25" s="69"/>
      <c r="Y25" s="103"/>
      <c r="AC25" s="36"/>
      <c r="AD25" s="104">
        <v>2.2</v>
      </c>
      <c r="AE25" s="105" t="s">
        <v>82</v>
      </c>
      <c r="AF25" s="203">
        <v>70.5</v>
      </c>
      <c r="AG25" s="38"/>
      <c r="AH25" s="25"/>
      <c r="AI25" s="70"/>
      <c r="AK25" s="41"/>
    </row>
    <row r="26" spans="1:37" ht="25.5">
      <c r="A26" s="367">
        <f t="shared" si="1"/>
        <v>14</v>
      </c>
      <c r="B26" s="368"/>
      <c r="C26" s="374">
        <v>31</v>
      </c>
      <c r="D26" s="369"/>
      <c r="E26" s="97" t="s">
        <v>83</v>
      </c>
      <c r="F26" s="375"/>
      <c r="G26" s="79">
        <f t="shared" si="0"/>
        <v>0</v>
      </c>
      <c r="H26" s="375"/>
      <c r="I26" s="375"/>
      <c r="J26" s="375"/>
      <c r="K26" s="375"/>
      <c r="L26" s="21">
        <v>0</v>
      </c>
      <c r="M26" s="21">
        <f t="shared" si="3"/>
        <v>0</v>
      </c>
      <c r="O26" s="62">
        <f t="shared" si="6"/>
        <v>13</v>
      </c>
      <c r="P26" s="65"/>
      <c r="Q26" s="80"/>
      <c r="R26" s="63" t="s">
        <v>84</v>
      </c>
      <c r="S26" s="66" t="s">
        <v>85</v>
      </c>
      <c r="T26" s="67"/>
      <c r="U26" s="68">
        <f t="shared" si="5"/>
        <v>0</v>
      </c>
      <c r="V26" s="69"/>
      <c r="W26" s="69"/>
      <c r="X26" s="69"/>
      <c r="Y26" s="69"/>
      <c r="AC26" s="36"/>
      <c r="AD26" s="106">
        <v>2.3</v>
      </c>
      <c r="AE26" s="107" t="s">
        <v>86</v>
      </c>
      <c r="AF26" s="108">
        <v>1023.5</v>
      </c>
      <c r="AG26" s="38"/>
      <c r="AH26" s="25"/>
      <c r="AI26" s="70"/>
      <c r="AK26" s="41"/>
    </row>
    <row r="27" spans="1:37" ht="25.5">
      <c r="A27" s="367">
        <f t="shared" si="1"/>
        <v>15</v>
      </c>
      <c r="B27" s="368"/>
      <c r="C27" s="374">
        <v>32</v>
      </c>
      <c r="D27" s="369"/>
      <c r="E27" s="97" t="s">
        <v>87</v>
      </c>
      <c r="F27" s="375"/>
      <c r="G27" s="79">
        <f t="shared" si="0"/>
        <v>0</v>
      </c>
      <c r="H27" s="109">
        <f>H28+H29+H30</f>
        <v>0</v>
      </c>
      <c r="I27" s="109">
        <f>I28+I29+I30</f>
        <v>0</v>
      </c>
      <c r="J27" s="109">
        <f>J28+J29+J30</f>
        <v>0</v>
      </c>
      <c r="K27" s="109">
        <f>K28+K29+K30</f>
        <v>0</v>
      </c>
      <c r="L27" s="21">
        <v>0</v>
      </c>
      <c r="M27" s="21">
        <f t="shared" si="3"/>
        <v>0</v>
      </c>
      <c r="O27" s="62">
        <f t="shared" si="6"/>
        <v>14</v>
      </c>
      <c r="P27" s="65"/>
      <c r="Q27" s="80"/>
      <c r="R27" s="65">
        <v>30</v>
      </c>
      <c r="S27" s="66" t="s">
        <v>88</v>
      </c>
      <c r="T27" s="67"/>
      <c r="U27" s="68">
        <f t="shared" si="5"/>
        <v>0</v>
      </c>
      <c r="V27" s="69"/>
      <c r="W27" s="69"/>
      <c r="X27" s="69"/>
      <c r="Y27" s="69"/>
      <c r="AC27" s="36"/>
      <c r="AD27" s="106">
        <v>3</v>
      </c>
      <c r="AE27" s="110" t="s">
        <v>89</v>
      </c>
      <c r="AF27" s="202">
        <v>671</v>
      </c>
      <c r="AG27" s="38"/>
      <c r="AH27" s="25"/>
      <c r="AI27" s="70"/>
      <c r="AK27" s="41"/>
    </row>
    <row r="28" spans="1:37" ht="12.75">
      <c r="A28" s="367">
        <f t="shared" si="1"/>
        <v>16</v>
      </c>
      <c r="B28" s="368"/>
      <c r="C28" s="374"/>
      <c r="D28" s="369"/>
      <c r="E28" s="66" t="s">
        <v>90</v>
      </c>
      <c r="F28" s="375"/>
      <c r="G28" s="79">
        <f t="shared" si="0"/>
        <v>0</v>
      </c>
      <c r="H28" s="375"/>
      <c r="I28" s="375"/>
      <c r="J28" s="375"/>
      <c r="K28" s="375"/>
      <c r="L28" s="21">
        <v>0</v>
      </c>
      <c r="M28" s="21">
        <f t="shared" si="3"/>
        <v>0</v>
      </c>
      <c r="O28" s="62">
        <f t="shared" si="6"/>
        <v>15</v>
      </c>
      <c r="P28" s="65"/>
      <c r="Q28" s="111"/>
      <c r="R28" s="65"/>
      <c r="S28" s="112" t="s">
        <v>91</v>
      </c>
      <c r="T28" s="113"/>
      <c r="U28" s="68">
        <f t="shared" si="5"/>
        <v>108.97</v>
      </c>
      <c r="V28" s="68"/>
      <c r="W28" s="114">
        <v>108.97</v>
      </c>
      <c r="X28" s="115">
        <v>0</v>
      </c>
      <c r="Y28" s="111">
        <v>0</v>
      </c>
      <c r="AC28" s="36"/>
      <c r="AD28" s="106">
        <v>4</v>
      </c>
      <c r="AE28" s="116" t="s">
        <v>92</v>
      </c>
      <c r="AF28" s="202">
        <v>2330</v>
      </c>
      <c r="AG28" s="38"/>
      <c r="AH28" s="25"/>
      <c r="AI28" s="70"/>
      <c r="AK28" s="41"/>
    </row>
    <row r="29" spans="1:37" ht="12.75">
      <c r="A29" s="367">
        <f t="shared" si="1"/>
        <v>17</v>
      </c>
      <c r="B29" s="368"/>
      <c r="C29" s="374"/>
      <c r="D29" s="369"/>
      <c r="E29" s="66" t="s">
        <v>93</v>
      </c>
      <c r="F29" s="375"/>
      <c r="G29" s="79">
        <f t="shared" si="0"/>
        <v>0</v>
      </c>
      <c r="H29" s="375"/>
      <c r="I29" s="375"/>
      <c r="J29" s="375"/>
      <c r="K29" s="375"/>
      <c r="L29" s="21">
        <v>0</v>
      </c>
      <c r="M29" s="21">
        <f t="shared" si="3"/>
        <v>0</v>
      </c>
      <c r="O29" s="117"/>
      <c r="P29" s="99"/>
      <c r="Q29" s="73"/>
      <c r="R29" s="84"/>
      <c r="S29" s="118"/>
      <c r="T29" s="118"/>
      <c r="U29" s="119"/>
      <c r="V29" s="119"/>
      <c r="W29" s="119"/>
      <c r="X29" s="119"/>
      <c r="Y29" s="119"/>
      <c r="AC29" s="36"/>
      <c r="AD29" s="120"/>
      <c r="AE29" s="121"/>
      <c r="AF29" s="122"/>
      <c r="AG29" s="38"/>
      <c r="AH29" s="25"/>
      <c r="AI29" s="70"/>
      <c r="AK29" s="41"/>
    </row>
    <row r="30" spans="1:37" ht="12.75">
      <c r="A30" s="367">
        <f t="shared" si="1"/>
        <v>18</v>
      </c>
      <c r="B30" s="368"/>
      <c r="C30" s="374"/>
      <c r="D30" s="369"/>
      <c r="E30" s="66" t="s">
        <v>94</v>
      </c>
      <c r="F30" s="375"/>
      <c r="G30" s="79">
        <f t="shared" si="0"/>
        <v>0</v>
      </c>
      <c r="H30" s="375"/>
      <c r="I30" s="375"/>
      <c r="J30" s="375"/>
      <c r="K30" s="375"/>
      <c r="L30" s="21">
        <v>0</v>
      </c>
      <c r="M30" s="21">
        <f t="shared" si="3"/>
        <v>0</v>
      </c>
      <c r="O30" s="117"/>
      <c r="P30" s="99"/>
      <c r="Q30" s="73"/>
      <c r="R30" s="84"/>
      <c r="S30" s="118"/>
      <c r="T30" s="118"/>
      <c r="U30" s="119"/>
      <c r="V30" s="119"/>
      <c r="W30" s="119"/>
      <c r="X30" s="119"/>
      <c r="Y30" s="119"/>
      <c r="AC30" s="36"/>
      <c r="AD30" s="120"/>
      <c r="AE30" s="121"/>
      <c r="AF30" s="122"/>
      <c r="AG30" s="38"/>
      <c r="AH30" s="25"/>
      <c r="AI30" s="70"/>
      <c r="AK30" s="41"/>
    </row>
    <row r="31" spans="1:37" ht="12.75">
      <c r="A31" s="367">
        <f t="shared" si="1"/>
        <v>19</v>
      </c>
      <c r="B31" s="368"/>
      <c r="C31" s="374">
        <v>50</v>
      </c>
      <c r="D31" s="369"/>
      <c r="E31" s="66" t="s">
        <v>95</v>
      </c>
      <c r="F31" s="375"/>
      <c r="G31" s="79">
        <f t="shared" si="0"/>
        <v>16.2</v>
      </c>
      <c r="H31" s="375">
        <v>3.37</v>
      </c>
      <c r="I31" s="375">
        <v>8.63</v>
      </c>
      <c r="J31" s="375">
        <v>4.2</v>
      </c>
      <c r="K31" s="375">
        <v>0</v>
      </c>
      <c r="L31" s="21">
        <v>27.84</v>
      </c>
      <c r="M31" s="21">
        <f t="shared" si="3"/>
        <v>11.64</v>
      </c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AC31" s="36"/>
      <c r="AD31" s="120"/>
      <c r="AE31" s="121"/>
      <c r="AF31" s="122"/>
      <c r="AG31" s="38"/>
      <c r="AH31" s="25"/>
      <c r="AI31" s="70"/>
      <c r="AK31" s="41"/>
    </row>
    <row r="32" spans="1:39" ht="14.25">
      <c r="A32" s="367">
        <f t="shared" si="1"/>
        <v>20</v>
      </c>
      <c r="B32" s="377" t="s">
        <v>46</v>
      </c>
      <c r="C32" s="368"/>
      <c r="D32" s="369"/>
      <c r="E32" s="85" t="s">
        <v>96</v>
      </c>
      <c r="F32" s="49">
        <f>+F33+F34+F35</f>
        <v>0</v>
      </c>
      <c r="G32" s="50">
        <f t="shared" si="0"/>
        <v>0</v>
      </c>
      <c r="H32" s="49">
        <f>+H33+H34+H35</f>
        <v>0</v>
      </c>
      <c r="I32" s="49">
        <f>+I33+I34+I35</f>
        <v>0</v>
      </c>
      <c r="J32" s="49">
        <f>+J33+J34+J35</f>
        <v>0</v>
      </c>
      <c r="K32" s="124">
        <f>+K33+K34+K35</f>
        <v>0</v>
      </c>
      <c r="L32" s="21">
        <v>0</v>
      </c>
      <c r="M32" s="21">
        <f t="shared" si="3"/>
        <v>0</v>
      </c>
      <c r="AC32" s="36"/>
      <c r="AD32" s="120"/>
      <c r="AE32" s="125"/>
      <c r="AF32" s="126"/>
      <c r="AG32" s="38"/>
      <c r="AH32" s="25"/>
      <c r="AI32" s="70"/>
      <c r="AK32" s="41"/>
      <c r="AM32" s="83"/>
    </row>
    <row r="33" spans="1:37" ht="15">
      <c r="A33" s="367">
        <f t="shared" si="1"/>
        <v>21</v>
      </c>
      <c r="B33" s="368"/>
      <c r="C33" s="373" t="s">
        <v>47</v>
      </c>
      <c r="D33" s="369"/>
      <c r="E33" s="66" t="s">
        <v>97</v>
      </c>
      <c r="F33" s="375"/>
      <c r="G33" s="79">
        <f t="shared" si="0"/>
        <v>0</v>
      </c>
      <c r="H33" s="375">
        <v>0</v>
      </c>
      <c r="I33" s="375"/>
      <c r="J33" s="375"/>
      <c r="K33" s="375"/>
      <c r="L33" s="21">
        <v>0</v>
      </c>
      <c r="M33" s="21">
        <f t="shared" si="3"/>
        <v>0</v>
      </c>
      <c r="O33" s="11" t="s">
        <v>98</v>
      </c>
      <c r="P33" s="70"/>
      <c r="R33" s="70"/>
      <c r="S33" s="70"/>
      <c r="T33" s="70"/>
      <c r="V33" s="35" t="s">
        <v>99</v>
      </c>
      <c r="AC33" s="70"/>
      <c r="AD33" s="120"/>
      <c r="AE33" s="121"/>
      <c r="AF33" s="127"/>
      <c r="AG33" s="70"/>
      <c r="AH33" s="70"/>
      <c r="AI33" s="70"/>
      <c r="AK33" s="41"/>
    </row>
    <row r="34" spans="1:37" ht="12.75">
      <c r="A34" s="367">
        <f t="shared" si="1"/>
        <v>22</v>
      </c>
      <c r="B34" s="368"/>
      <c r="C34" s="374">
        <v>50</v>
      </c>
      <c r="D34" s="369"/>
      <c r="E34" s="66" t="s">
        <v>100</v>
      </c>
      <c r="F34" s="375"/>
      <c r="G34" s="79">
        <f t="shared" si="0"/>
        <v>0</v>
      </c>
      <c r="H34" s="375">
        <v>0</v>
      </c>
      <c r="I34" s="375"/>
      <c r="J34" s="375"/>
      <c r="K34" s="375"/>
      <c r="L34" s="21">
        <v>0</v>
      </c>
      <c r="M34" s="21">
        <f t="shared" si="3"/>
        <v>0</v>
      </c>
      <c r="AC34" s="70"/>
      <c r="AD34" s="120"/>
      <c r="AE34" s="121"/>
      <c r="AF34" s="127"/>
      <c r="AG34" s="70"/>
      <c r="AH34" s="70"/>
      <c r="AI34" s="70"/>
      <c r="AK34" s="83"/>
    </row>
    <row r="35" spans="1:35" ht="15">
      <c r="A35" s="367">
        <f t="shared" si="1"/>
        <v>23</v>
      </c>
      <c r="B35" s="368"/>
      <c r="C35" s="368"/>
      <c r="D35" s="379" t="s">
        <v>41</v>
      </c>
      <c r="E35" s="66" t="s">
        <v>100</v>
      </c>
      <c r="F35" s="375"/>
      <c r="G35" s="79">
        <f t="shared" si="0"/>
        <v>0</v>
      </c>
      <c r="H35" s="375">
        <v>0</v>
      </c>
      <c r="I35" s="375"/>
      <c r="J35" s="375"/>
      <c r="K35" s="375"/>
      <c r="L35" s="21">
        <v>0</v>
      </c>
      <c r="M35" s="21">
        <f t="shared" si="3"/>
        <v>0</v>
      </c>
      <c r="O35" s="26"/>
      <c r="P35" s="15"/>
      <c r="R35" s="15"/>
      <c r="AC35" s="70"/>
      <c r="AD35" s="11" t="s">
        <v>101</v>
      </c>
      <c r="AE35" s="70"/>
      <c r="AF35" s="35" t="s">
        <v>99</v>
      </c>
      <c r="AG35" s="70"/>
      <c r="AH35" s="70"/>
      <c r="AI35" s="70"/>
    </row>
    <row r="36" spans="1:38" ht="12.75">
      <c r="A36" s="367">
        <f t="shared" si="1"/>
        <v>24</v>
      </c>
      <c r="B36" s="368"/>
      <c r="C36" s="368"/>
      <c r="D36" s="369"/>
      <c r="E36" s="85" t="s">
        <v>102</v>
      </c>
      <c r="F36" s="49">
        <f>+F37</f>
        <v>0</v>
      </c>
      <c r="G36" s="50">
        <f t="shared" si="0"/>
        <v>0</v>
      </c>
      <c r="H36" s="49">
        <f>+H37</f>
        <v>0</v>
      </c>
      <c r="I36" s="49">
        <f>+I37</f>
        <v>0</v>
      </c>
      <c r="J36" s="49">
        <f>+J37</f>
        <v>0</v>
      </c>
      <c r="K36" s="124">
        <f>+K37</f>
        <v>0</v>
      </c>
      <c r="L36" s="21">
        <v>0</v>
      </c>
      <c r="M36" s="21">
        <f t="shared" si="3"/>
        <v>0</v>
      </c>
      <c r="O36" s="26"/>
      <c r="P36" s="15"/>
      <c r="R36" s="15"/>
      <c r="U36" s="128"/>
      <c r="X36" s="128"/>
      <c r="AC36" s="70"/>
      <c r="AD36" s="70"/>
      <c r="AE36" s="70"/>
      <c r="AF36" s="129" t="s">
        <v>103</v>
      </c>
      <c r="AG36" s="70"/>
      <c r="AH36" s="70"/>
      <c r="AI36" s="70"/>
      <c r="AK36" s="41"/>
      <c r="AL36" s="83"/>
    </row>
    <row r="37" spans="1:37" ht="12.75">
      <c r="A37" s="367">
        <f t="shared" si="1"/>
        <v>25</v>
      </c>
      <c r="B37" s="368">
        <v>39.1</v>
      </c>
      <c r="C37" s="368"/>
      <c r="D37" s="369"/>
      <c r="E37" s="85" t="s">
        <v>104</v>
      </c>
      <c r="F37" s="49">
        <f>+F38+F39+F40</f>
        <v>0</v>
      </c>
      <c r="G37" s="50">
        <f t="shared" si="0"/>
        <v>0</v>
      </c>
      <c r="H37" s="49">
        <f>+H38+H39+H40</f>
        <v>0</v>
      </c>
      <c r="I37" s="49">
        <f>+I38+I39+I40</f>
        <v>0</v>
      </c>
      <c r="J37" s="49">
        <f>+J38+J39+J40</f>
        <v>0</v>
      </c>
      <c r="K37" s="124">
        <f>+K38+K39+K40</f>
        <v>0</v>
      </c>
      <c r="L37" s="21">
        <v>0</v>
      </c>
      <c r="M37" s="21">
        <f t="shared" si="3"/>
        <v>0</v>
      </c>
      <c r="O37" s="15" t="s">
        <v>105</v>
      </c>
      <c r="P37" t="s">
        <v>106</v>
      </c>
      <c r="Q37" s="15"/>
      <c r="AC37" s="70"/>
      <c r="AD37" s="70"/>
      <c r="AE37" s="70"/>
      <c r="AF37" s="70"/>
      <c r="AG37" s="70"/>
      <c r="AH37" s="70"/>
      <c r="AI37" s="70"/>
      <c r="AK37" s="41"/>
    </row>
    <row r="38" spans="1:38" ht="12.75">
      <c r="A38" s="367">
        <f t="shared" si="1"/>
        <v>26</v>
      </c>
      <c r="B38" s="368"/>
      <c r="C38" s="373" t="s">
        <v>47</v>
      </c>
      <c r="D38" s="369"/>
      <c r="E38" s="66" t="s">
        <v>107</v>
      </c>
      <c r="F38" s="375"/>
      <c r="G38" s="79">
        <f t="shared" si="0"/>
        <v>0</v>
      </c>
      <c r="H38" s="375"/>
      <c r="I38" s="375"/>
      <c r="J38" s="375"/>
      <c r="K38" s="375"/>
      <c r="L38" s="21">
        <v>0</v>
      </c>
      <c r="M38" s="21">
        <f t="shared" si="3"/>
        <v>0</v>
      </c>
      <c r="O38" s="26"/>
      <c r="P38" s="15"/>
      <c r="R38" s="15"/>
      <c r="AC38" s="70"/>
      <c r="AD38" s="70"/>
      <c r="AE38" s="70"/>
      <c r="AF38" s="70"/>
      <c r="AG38" s="70"/>
      <c r="AH38" s="70"/>
      <c r="AI38" s="70"/>
      <c r="AK38" s="41"/>
      <c r="AL38" s="83"/>
    </row>
    <row r="39" spans="1:38" ht="12.75">
      <c r="A39" s="367">
        <f t="shared" si="1"/>
        <v>27</v>
      </c>
      <c r="B39" s="368"/>
      <c r="C39" s="373" t="s">
        <v>108</v>
      </c>
      <c r="D39" s="369"/>
      <c r="E39" s="66" t="s">
        <v>109</v>
      </c>
      <c r="F39" s="375"/>
      <c r="G39" s="79">
        <f t="shared" si="0"/>
        <v>0</v>
      </c>
      <c r="H39" s="375"/>
      <c r="I39" s="375"/>
      <c r="J39" s="375"/>
      <c r="K39" s="375"/>
      <c r="L39" s="21">
        <v>0</v>
      </c>
      <c r="M39" s="21">
        <f t="shared" si="3"/>
        <v>0</v>
      </c>
      <c r="O39" s="26"/>
      <c r="P39" s="15"/>
      <c r="AC39" s="70"/>
      <c r="AD39" s="70"/>
      <c r="AE39" s="70"/>
      <c r="AF39" s="70"/>
      <c r="AG39" s="70"/>
      <c r="AH39" s="70"/>
      <c r="AI39" s="70"/>
      <c r="AK39" s="41"/>
      <c r="AL39" s="83"/>
    </row>
    <row r="40" spans="1:38" ht="12.75">
      <c r="A40" s="367">
        <f t="shared" si="1"/>
        <v>28</v>
      </c>
      <c r="B40" s="368"/>
      <c r="C40" s="374">
        <v>50</v>
      </c>
      <c r="D40" s="369"/>
      <c r="E40" s="66" t="s">
        <v>110</v>
      </c>
      <c r="F40" s="375"/>
      <c r="G40" s="79">
        <f t="shared" si="0"/>
        <v>0</v>
      </c>
      <c r="H40" s="375"/>
      <c r="I40" s="375"/>
      <c r="J40" s="375"/>
      <c r="K40" s="375"/>
      <c r="L40" s="21">
        <v>0</v>
      </c>
      <c r="M40" s="21">
        <f t="shared" si="3"/>
        <v>0</v>
      </c>
      <c r="O40" s="26"/>
      <c r="P40" s="15"/>
      <c r="AC40" s="70"/>
      <c r="AI40" s="70"/>
      <c r="AK40" s="41"/>
      <c r="AL40" s="83"/>
    </row>
    <row r="41" spans="1:38" ht="15">
      <c r="A41" s="367">
        <f t="shared" si="1"/>
        <v>29</v>
      </c>
      <c r="B41" s="368"/>
      <c r="C41" s="368"/>
      <c r="D41" s="369"/>
      <c r="E41" s="85" t="s">
        <v>111</v>
      </c>
      <c r="F41" s="49">
        <f>+F42+F50+F61</f>
        <v>0</v>
      </c>
      <c r="G41" s="50">
        <f t="shared" si="0"/>
        <v>33584.83</v>
      </c>
      <c r="H41" s="49">
        <f>+H42+H50+H61</f>
        <v>12146.47</v>
      </c>
      <c r="I41" s="49">
        <f>+I42+I50+I61</f>
        <v>16676.7</v>
      </c>
      <c r="J41" s="49">
        <f>+J42+J50+J61</f>
        <v>4761.66</v>
      </c>
      <c r="K41" s="49">
        <f>+K42+K50+K61</f>
        <v>0</v>
      </c>
      <c r="L41" s="21">
        <v>77759</v>
      </c>
      <c r="M41" s="21">
        <f t="shared" si="3"/>
        <v>44174.17</v>
      </c>
      <c r="O41" s="26"/>
      <c r="P41" s="15"/>
      <c r="R41" s="11"/>
      <c r="S41" s="70"/>
      <c r="T41" s="70"/>
      <c r="U41" s="35"/>
      <c r="V41" s="70"/>
      <c r="AC41" s="70"/>
      <c r="AI41" s="70"/>
      <c r="AK41" s="41"/>
      <c r="AL41" s="83"/>
    </row>
    <row r="42" spans="1:38" ht="12.75">
      <c r="A42" s="367">
        <f t="shared" si="1"/>
        <v>30</v>
      </c>
      <c r="B42" s="377" t="s">
        <v>112</v>
      </c>
      <c r="C42" s="368"/>
      <c r="D42" s="369"/>
      <c r="E42" s="85" t="s">
        <v>113</v>
      </c>
      <c r="F42" s="49">
        <f>F43</f>
        <v>0</v>
      </c>
      <c r="G42" s="50">
        <f t="shared" si="0"/>
        <v>18614</v>
      </c>
      <c r="H42" s="49">
        <f>H43</f>
        <v>7538</v>
      </c>
      <c r="I42" s="49">
        <f>I43</f>
        <v>6615</v>
      </c>
      <c r="J42" s="49">
        <f>J43</f>
        <v>4461</v>
      </c>
      <c r="K42" s="49">
        <f>K43</f>
        <v>0</v>
      </c>
      <c r="L42" s="21">
        <v>31208</v>
      </c>
      <c r="M42" s="21">
        <f t="shared" si="3"/>
        <v>12594</v>
      </c>
      <c r="O42" s="26"/>
      <c r="P42" s="15"/>
      <c r="R42" s="130"/>
      <c r="S42" s="70"/>
      <c r="T42" s="70"/>
      <c r="U42" s="131"/>
      <c r="AC42" s="70"/>
      <c r="AD42" s="70"/>
      <c r="AE42" s="70"/>
      <c r="AF42" s="70"/>
      <c r="AG42" s="70"/>
      <c r="AH42" s="70"/>
      <c r="AI42" s="70"/>
      <c r="AK42" s="41"/>
      <c r="AL42" s="83"/>
    </row>
    <row r="43" spans="1:39" ht="12.75">
      <c r="A43" s="367">
        <f t="shared" si="1"/>
        <v>31</v>
      </c>
      <c r="B43" s="368"/>
      <c r="C43" s="374">
        <v>11</v>
      </c>
      <c r="D43" s="369"/>
      <c r="E43" s="66" t="s">
        <v>114</v>
      </c>
      <c r="F43" s="49">
        <f>F44+F45+F46+F47+F48+F49</f>
        <v>0</v>
      </c>
      <c r="G43" s="50">
        <f t="shared" si="0"/>
        <v>18614</v>
      </c>
      <c r="H43" s="49">
        <f>H44+H45+H46+H47+H48+H49</f>
        <v>7538</v>
      </c>
      <c r="I43" s="49">
        <f>I44+I45+I46+I47+I48+I49</f>
        <v>6615</v>
      </c>
      <c r="J43" s="49">
        <f>J44+J45+J46+J47+J48+J49</f>
        <v>4461</v>
      </c>
      <c r="K43" s="49">
        <f>K44+K45+K46+K47+K48+K49</f>
        <v>0</v>
      </c>
      <c r="L43" s="21">
        <v>31208</v>
      </c>
      <c r="M43" s="21">
        <f t="shared" si="3"/>
        <v>12594</v>
      </c>
      <c r="S43" s="132"/>
      <c r="T43" s="132"/>
      <c r="U43" s="133"/>
      <c r="V43" s="133"/>
      <c r="W43" s="133"/>
      <c r="X43" s="133"/>
      <c r="Y43" s="133"/>
      <c r="AK43" s="134"/>
      <c r="AL43" s="83"/>
      <c r="AM43" s="83"/>
    </row>
    <row r="44" spans="1:38" ht="12.75">
      <c r="A44" s="367">
        <f t="shared" si="1"/>
        <v>32</v>
      </c>
      <c r="B44" s="368"/>
      <c r="C44" s="368"/>
      <c r="D44" s="369"/>
      <c r="E44" s="66" t="s">
        <v>115</v>
      </c>
      <c r="F44" s="375"/>
      <c r="G44" s="79">
        <f t="shared" si="0"/>
        <v>256</v>
      </c>
      <c r="H44" s="375">
        <v>0</v>
      </c>
      <c r="I44" s="375">
        <v>70</v>
      </c>
      <c r="J44" s="375">
        <v>186</v>
      </c>
      <c r="K44" s="375">
        <v>0</v>
      </c>
      <c r="L44" s="21">
        <v>802</v>
      </c>
      <c r="M44" s="21">
        <f t="shared" si="3"/>
        <v>546</v>
      </c>
      <c r="S44" s="135"/>
      <c r="T44" s="135"/>
      <c r="U44" s="133"/>
      <c r="V44" s="133"/>
      <c r="W44" s="133"/>
      <c r="X44" s="133"/>
      <c r="Y44" s="133"/>
      <c r="AL44" s="83"/>
    </row>
    <row r="45" spans="1:38" ht="12.75">
      <c r="A45" s="367">
        <f t="shared" si="1"/>
        <v>33</v>
      </c>
      <c r="B45" s="368"/>
      <c r="C45" s="368"/>
      <c r="D45" s="369"/>
      <c r="E45" s="66" t="s">
        <v>116</v>
      </c>
      <c r="F45" s="375"/>
      <c r="G45" s="79">
        <f t="shared" si="0"/>
        <v>0</v>
      </c>
      <c r="H45" s="375"/>
      <c r="I45" s="375"/>
      <c r="J45" s="375"/>
      <c r="K45" s="375"/>
      <c r="L45" s="21">
        <v>0</v>
      </c>
      <c r="M45" s="21">
        <f t="shared" si="3"/>
        <v>0</v>
      </c>
      <c r="S45" s="135"/>
      <c r="T45" s="135"/>
      <c r="U45" s="133"/>
      <c r="V45" s="133"/>
      <c r="W45" s="133"/>
      <c r="X45" s="133"/>
      <c r="Y45" s="133"/>
      <c r="AK45" s="41"/>
      <c r="AL45" s="83"/>
    </row>
    <row r="46" spans="1:38" ht="12.75">
      <c r="A46" s="367">
        <f t="shared" si="1"/>
        <v>34</v>
      </c>
      <c r="B46" s="368"/>
      <c r="C46" s="368"/>
      <c r="D46" s="369"/>
      <c r="E46" s="66" t="s">
        <v>117</v>
      </c>
      <c r="F46" s="375"/>
      <c r="G46" s="79">
        <f t="shared" si="0"/>
        <v>0</v>
      </c>
      <c r="H46" s="375"/>
      <c r="I46" s="375"/>
      <c r="J46" s="375"/>
      <c r="K46" s="375"/>
      <c r="L46" s="21">
        <v>1092</v>
      </c>
      <c r="M46" s="21">
        <f t="shared" si="3"/>
        <v>1092</v>
      </c>
      <c r="S46" s="135"/>
      <c r="T46" s="135"/>
      <c r="U46" s="133"/>
      <c r="V46" s="133"/>
      <c r="W46" s="133"/>
      <c r="X46" s="133"/>
      <c r="Y46" s="133"/>
      <c r="AK46" s="41"/>
      <c r="AL46" s="83"/>
    </row>
    <row r="47" spans="1:37" ht="12.75">
      <c r="A47" s="367">
        <f t="shared" si="1"/>
        <v>35</v>
      </c>
      <c r="B47" s="368"/>
      <c r="C47" s="368"/>
      <c r="D47" s="369"/>
      <c r="E47" s="66" t="s">
        <v>118</v>
      </c>
      <c r="F47" s="375"/>
      <c r="G47" s="79">
        <f t="shared" si="0"/>
        <v>17058</v>
      </c>
      <c r="H47" s="375">
        <v>6238</v>
      </c>
      <c r="I47" s="375">
        <v>6545</v>
      </c>
      <c r="J47" s="375">
        <v>4275</v>
      </c>
      <c r="K47" s="375">
        <v>0</v>
      </c>
      <c r="L47" s="21">
        <v>26115</v>
      </c>
      <c r="M47" s="21">
        <f t="shared" si="3"/>
        <v>9057</v>
      </c>
      <c r="S47" s="21"/>
      <c r="T47" s="21"/>
      <c r="AK47" s="41"/>
    </row>
    <row r="48" spans="1:37" ht="12.75">
      <c r="A48" s="367">
        <f t="shared" si="1"/>
        <v>36</v>
      </c>
      <c r="B48" s="368"/>
      <c r="C48" s="368"/>
      <c r="D48" s="369"/>
      <c r="E48" s="66" t="s">
        <v>119</v>
      </c>
      <c r="F48" s="375"/>
      <c r="G48" s="79">
        <f t="shared" si="0"/>
        <v>1300</v>
      </c>
      <c r="H48" s="375">
        <v>1300</v>
      </c>
      <c r="I48" s="375">
        <v>0</v>
      </c>
      <c r="J48" s="375">
        <v>0</v>
      </c>
      <c r="K48" s="375">
        <v>0</v>
      </c>
      <c r="L48" s="21">
        <v>3199</v>
      </c>
      <c r="M48" s="21">
        <f t="shared" si="3"/>
        <v>1899</v>
      </c>
      <c r="AK48" s="41"/>
    </row>
    <row r="49" spans="1:37" ht="15.75">
      <c r="A49" s="367">
        <f t="shared" si="1"/>
        <v>37</v>
      </c>
      <c r="B49" s="368"/>
      <c r="C49" s="368"/>
      <c r="D49" s="369"/>
      <c r="E49" s="66" t="s">
        <v>120</v>
      </c>
      <c r="F49" s="375"/>
      <c r="G49" s="79">
        <f t="shared" si="0"/>
        <v>0</v>
      </c>
      <c r="H49" s="375"/>
      <c r="I49" s="375"/>
      <c r="J49" s="375"/>
      <c r="K49" s="412"/>
      <c r="L49" s="21">
        <v>0</v>
      </c>
      <c r="M49" s="21">
        <f t="shared" si="3"/>
        <v>0</v>
      </c>
      <c r="P49" s="9"/>
      <c r="R49" s="136"/>
      <c r="AK49" s="41"/>
    </row>
    <row r="50" spans="1:37" ht="15.75">
      <c r="A50" s="367">
        <f t="shared" si="1"/>
        <v>38</v>
      </c>
      <c r="B50" s="380" t="s">
        <v>121</v>
      </c>
      <c r="C50" s="381"/>
      <c r="D50" s="382"/>
      <c r="E50" s="448" t="s">
        <v>122</v>
      </c>
      <c r="F50" s="137">
        <f>F51+F57</f>
        <v>0</v>
      </c>
      <c r="G50" s="50">
        <f t="shared" si="0"/>
        <v>12287.36</v>
      </c>
      <c r="H50" s="137">
        <f>H51+H57</f>
        <v>1925</v>
      </c>
      <c r="I50" s="137">
        <f>I51+I57</f>
        <v>10061.7</v>
      </c>
      <c r="J50" s="137">
        <f>J51+J57</f>
        <v>300.65999999999997</v>
      </c>
      <c r="K50" s="137">
        <f>K51+K57</f>
        <v>0</v>
      </c>
      <c r="L50" s="21">
        <v>32801</v>
      </c>
      <c r="M50" s="21">
        <f t="shared" si="3"/>
        <v>20513.64</v>
      </c>
      <c r="R50" s="136"/>
      <c r="AK50" s="41"/>
    </row>
    <row r="51" spans="1:37" ht="51">
      <c r="A51" s="367">
        <f t="shared" si="1"/>
        <v>39</v>
      </c>
      <c r="B51" s="381"/>
      <c r="C51" s="385">
        <v>9</v>
      </c>
      <c r="D51" s="386"/>
      <c r="E51" s="138" t="s">
        <v>123</v>
      </c>
      <c r="F51" s="137">
        <f>+F52+F54+F56</f>
        <v>0</v>
      </c>
      <c r="G51" s="50">
        <f t="shared" si="0"/>
        <v>9957</v>
      </c>
      <c r="H51" s="137">
        <f>+H52+H54+H56+H55+H53</f>
        <v>1338</v>
      </c>
      <c r="I51" s="137">
        <f>+I52+I54+I56+I55+I53</f>
        <v>8395</v>
      </c>
      <c r="J51" s="137">
        <f>+J52+J54+J56+J55+J53</f>
        <v>224</v>
      </c>
      <c r="K51" s="137">
        <f>+K52+K54+K56+K55+K53</f>
        <v>0</v>
      </c>
      <c r="L51" s="21">
        <v>25785</v>
      </c>
      <c r="M51" s="21">
        <f t="shared" si="3"/>
        <v>15828</v>
      </c>
      <c r="P51" s="4" t="s">
        <v>1</v>
      </c>
      <c r="R51" s="7"/>
      <c r="S51" s="139"/>
      <c r="T51" s="140" t="s">
        <v>124</v>
      </c>
      <c r="AK51" s="134"/>
    </row>
    <row r="52" spans="1:17" ht="12.75">
      <c r="A52" s="367">
        <f t="shared" si="1"/>
        <v>40</v>
      </c>
      <c r="B52" s="381"/>
      <c r="C52" s="388"/>
      <c r="D52" s="389"/>
      <c r="E52" s="75" t="s">
        <v>125</v>
      </c>
      <c r="F52" s="375"/>
      <c r="G52" s="79">
        <f t="shared" si="0"/>
        <v>952</v>
      </c>
      <c r="H52" s="375">
        <v>952</v>
      </c>
      <c r="I52" s="375"/>
      <c r="J52" s="375"/>
      <c r="K52" s="375"/>
      <c r="L52" s="21">
        <v>952</v>
      </c>
      <c r="M52" s="21">
        <f t="shared" si="3"/>
        <v>0</v>
      </c>
      <c r="N52" s="142"/>
      <c r="O52" s="142"/>
      <c r="P52" s="142"/>
      <c r="Q52" s="142"/>
    </row>
    <row r="53" spans="1:17" ht="12.75">
      <c r="A53" s="367"/>
      <c r="B53" s="381"/>
      <c r="C53" s="388"/>
      <c r="D53" s="389"/>
      <c r="E53" s="66" t="s">
        <v>118</v>
      </c>
      <c r="F53" s="375"/>
      <c r="G53" s="79">
        <f t="shared" si="0"/>
        <v>0</v>
      </c>
      <c r="H53" s="375">
        <v>0</v>
      </c>
      <c r="I53" s="375">
        <v>0</v>
      </c>
      <c r="J53" s="375">
        <v>0</v>
      </c>
      <c r="K53" s="375">
        <v>0</v>
      </c>
      <c r="L53" s="21">
        <v>1414</v>
      </c>
      <c r="M53" s="21">
        <f t="shared" si="3"/>
        <v>1414</v>
      </c>
      <c r="N53" s="142"/>
      <c r="O53" s="142"/>
      <c r="P53" s="142"/>
      <c r="Q53" s="142"/>
    </row>
    <row r="54" spans="1:39" ht="12.75">
      <c r="A54" s="367">
        <f>A52+1</f>
        <v>41</v>
      </c>
      <c r="B54" s="390"/>
      <c r="C54" s="391"/>
      <c r="D54" s="392"/>
      <c r="E54" s="143" t="s">
        <v>126</v>
      </c>
      <c r="F54" s="375"/>
      <c r="G54" s="109">
        <f t="shared" si="0"/>
        <v>8380</v>
      </c>
      <c r="H54" s="375">
        <v>0</v>
      </c>
      <c r="I54" s="375">
        <v>8380</v>
      </c>
      <c r="J54" s="375">
        <v>0</v>
      </c>
      <c r="K54" s="375">
        <v>0</v>
      </c>
      <c r="L54" s="21">
        <v>20923</v>
      </c>
      <c r="M54" s="21">
        <f t="shared" si="3"/>
        <v>12543</v>
      </c>
      <c r="N54" s="141"/>
      <c r="O54" s="141"/>
      <c r="P54" s="141"/>
      <c r="Q54" s="141"/>
      <c r="R54" s="21">
        <f>L53+L56</f>
        <v>3524</v>
      </c>
      <c r="AM54" s="83"/>
    </row>
    <row r="55" spans="1:39" ht="12.75">
      <c r="A55" s="367"/>
      <c r="B55" s="390"/>
      <c r="C55" s="391"/>
      <c r="D55" s="392"/>
      <c r="E55" s="143" t="s">
        <v>116</v>
      </c>
      <c r="F55" s="375"/>
      <c r="G55" s="109">
        <f t="shared" si="0"/>
        <v>386</v>
      </c>
      <c r="H55" s="375">
        <v>386</v>
      </c>
      <c r="I55" s="375"/>
      <c r="J55" s="375"/>
      <c r="K55" s="375"/>
      <c r="L55" s="21">
        <v>386</v>
      </c>
      <c r="M55" s="21">
        <f t="shared" si="3"/>
        <v>0</v>
      </c>
      <c r="N55" s="142"/>
      <c r="O55" s="142"/>
      <c r="P55" s="142"/>
      <c r="Q55" s="142"/>
      <c r="AM55" s="83"/>
    </row>
    <row r="56" spans="1:17" ht="12.75">
      <c r="A56" s="367">
        <f>A54+1</f>
        <v>42</v>
      </c>
      <c r="B56" s="381"/>
      <c r="C56" s="388"/>
      <c r="D56" s="389"/>
      <c r="E56" s="75" t="s">
        <v>115</v>
      </c>
      <c r="F56" s="375"/>
      <c r="G56" s="79">
        <f t="shared" si="0"/>
        <v>239</v>
      </c>
      <c r="H56" s="375">
        <v>0</v>
      </c>
      <c r="I56" s="375">
        <v>15</v>
      </c>
      <c r="J56" s="375">
        <v>224</v>
      </c>
      <c r="K56" s="375">
        <v>0</v>
      </c>
      <c r="L56" s="21">
        <v>2110</v>
      </c>
      <c r="M56" s="21">
        <f t="shared" si="3"/>
        <v>1871</v>
      </c>
      <c r="N56" s="144"/>
      <c r="O56" s="144"/>
      <c r="P56" s="144"/>
      <c r="Q56" s="144"/>
    </row>
    <row r="57" spans="1:38" ht="15.75">
      <c r="A57" s="367">
        <f>A56+1</f>
        <v>43</v>
      </c>
      <c r="B57" s="368"/>
      <c r="C57" s="86">
        <v>10</v>
      </c>
      <c r="D57" s="86"/>
      <c r="E57" s="59" t="s">
        <v>127</v>
      </c>
      <c r="F57" s="50">
        <f>F58+F60</f>
        <v>0</v>
      </c>
      <c r="G57" s="50">
        <f t="shared" si="0"/>
        <v>2330.3599999999997</v>
      </c>
      <c r="H57" s="50">
        <f>H58+H59+H60</f>
        <v>587</v>
      </c>
      <c r="I57" s="50">
        <f>I58+I59+I60</f>
        <v>1666.7</v>
      </c>
      <c r="J57" s="50">
        <f>J58+J59+J60</f>
        <v>76.66</v>
      </c>
      <c r="K57" s="50">
        <f>K58+K59+K60</f>
        <v>0</v>
      </c>
      <c r="L57" s="21">
        <v>7016</v>
      </c>
      <c r="M57" s="21">
        <f t="shared" si="3"/>
        <v>4685.64</v>
      </c>
      <c r="N57" s="142"/>
      <c r="O57" s="142"/>
      <c r="P57" s="142"/>
      <c r="Q57" s="142"/>
      <c r="S57" s="145" t="s">
        <v>128</v>
      </c>
      <c r="T57" s="145"/>
      <c r="AL57" s="83"/>
    </row>
    <row r="58" spans="1:20" ht="15">
      <c r="A58" s="367">
        <f t="shared" si="1"/>
        <v>44</v>
      </c>
      <c r="B58" s="368"/>
      <c r="C58" s="368"/>
      <c r="D58" s="369"/>
      <c r="E58" s="66" t="s">
        <v>125</v>
      </c>
      <c r="F58" s="375"/>
      <c r="G58" s="79">
        <f t="shared" si="0"/>
        <v>1683.7</v>
      </c>
      <c r="H58" s="375">
        <v>382</v>
      </c>
      <c r="I58" s="375">
        <v>1301.7</v>
      </c>
      <c r="J58" s="375">
        <v>0</v>
      </c>
      <c r="K58" s="412"/>
      <c r="L58" s="21">
        <v>5762</v>
      </c>
      <c r="M58" s="21">
        <f t="shared" si="3"/>
        <v>4078.3</v>
      </c>
      <c r="N58" s="146"/>
      <c r="O58" s="146"/>
      <c r="P58" s="146"/>
      <c r="Q58" s="146"/>
      <c r="S58" s="147" t="s">
        <v>129</v>
      </c>
      <c r="T58" s="147"/>
    </row>
    <row r="59" spans="1:20" ht="15">
      <c r="A59" s="367">
        <f t="shared" si="1"/>
        <v>45</v>
      </c>
      <c r="B59" s="368"/>
      <c r="C59" s="368"/>
      <c r="D59" s="369"/>
      <c r="E59" s="143" t="s">
        <v>126</v>
      </c>
      <c r="F59" s="375"/>
      <c r="G59" s="79">
        <f t="shared" si="0"/>
        <v>0</v>
      </c>
      <c r="H59" s="375"/>
      <c r="I59" s="375"/>
      <c r="J59" s="375"/>
      <c r="K59" s="412"/>
      <c r="L59" s="21">
        <v>0</v>
      </c>
      <c r="M59" s="21">
        <f t="shared" si="3"/>
        <v>0</v>
      </c>
      <c r="N59" s="142"/>
      <c r="O59" s="142"/>
      <c r="P59" s="142"/>
      <c r="Q59" s="142"/>
      <c r="S59" s="147"/>
      <c r="T59" s="147"/>
    </row>
    <row r="60" spans="1:20" ht="15">
      <c r="A60" s="367">
        <f t="shared" si="1"/>
        <v>46</v>
      </c>
      <c r="B60" s="368"/>
      <c r="C60" s="368"/>
      <c r="D60" s="369"/>
      <c r="E60" s="66" t="s">
        <v>130</v>
      </c>
      <c r="F60" s="375"/>
      <c r="G60" s="79">
        <f t="shared" si="0"/>
        <v>646.66</v>
      </c>
      <c r="H60" s="375">
        <v>205</v>
      </c>
      <c r="I60" s="375">
        <v>365</v>
      </c>
      <c r="J60" s="375">
        <v>76.66</v>
      </c>
      <c r="K60" s="412"/>
      <c r="L60" s="21">
        <v>1254</v>
      </c>
      <c r="M60" s="21">
        <f t="shared" si="3"/>
        <v>607.34</v>
      </c>
      <c r="N60" s="142"/>
      <c r="O60" s="142"/>
      <c r="P60" s="142"/>
      <c r="Q60" s="142"/>
      <c r="S60" s="147" t="s">
        <v>131</v>
      </c>
      <c r="T60" s="147"/>
    </row>
    <row r="61" spans="1:20" ht="15">
      <c r="A61" s="367">
        <f t="shared" si="1"/>
        <v>47</v>
      </c>
      <c r="B61" s="372" t="s">
        <v>132</v>
      </c>
      <c r="C61" s="368"/>
      <c r="D61" s="369"/>
      <c r="E61" s="59" t="s">
        <v>133</v>
      </c>
      <c r="F61" s="375"/>
      <c r="G61" s="79">
        <f t="shared" si="0"/>
        <v>2683.47</v>
      </c>
      <c r="H61" s="375">
        <v>2683.47</v>
      </c>
      <c r="I61" s="375"/>
      <c r="J61" s="375"/>
      <c r="K61" s="412"/>
      <c r="L61" s="21">
        <v>13750</v>
      </c>
      <c r="M61" s="21">
        <f t="shared" si="3"/>
        <v>11066.53</v>
      </c>
      <c r="N61" s="142"/>
      <c r="O61" s="142"/>
      <c r="P61" s="142"/>
      <c r="Q61" s="142"/>
      <c r="S61" s="147" t="s">
        <v>134</v>
      </c>
      <c r="T61" s="147"/>
    </row>
    <row r="62" spans="1:20" ht="15">
      <c r="A62" s="367"/>
      <c r="B62" s="368" t="s">
        <v>59</v>
      </c>
      <c r="C62" s="368" t="s">
        <v>60</v>
      </c>
      <c r="D62" s="368" t="s">
        <v>61</v>
      </c>
      <c r="E62" s="85" t="s">
        <v>21</v>
      </c>
      <c r="F62" s="79"/>
      <c r="G62" s="79"/>
      <c r="H62" s="79"/>
      <c r="I62" s="79"/>
      <c r="J62" s="79"/>
      <c r="K62" s="393"/>
      <c r="L62" s="171"/>
      <c r="M62" s="141"/>
      <c r="N62" s="141"/>
      <c r="O62" s="141"/>
      <c r="P62" s="141"/>
      <c r="Q62" s="141"/>
      <c r="S62" s="147"/>
      <c r="T62" s="147"/>
    </row>
    <row r="63" spans="1:21" ht="25.5">
      <c r="A63" s="367">
        <f>A61+1</f>
        <v>48</v>
      </c>
      <c r="B63" s="368"/>
      <c r="C63" s="368"/>
      <c r="D63" s="369"/>
      <c r="E63" s="148" t="s">
        <v>135</v>
      </c>
      <c r="F63" s="49">
        <f>F64+F152</f>
        <v>0</v>
      </c>
      <c r="G63" s="50">
        <f aca="true" t="shared" si="7" ref="G63:G126">H63+I63+J63+K63</f>
        <v>83608.67</v>
      </c>
      <c r="H63" s="49">
        <f>H64+H152</f>
        <v>36549.6</v>
      </c>
      <c r="I63" s="49">
        <f>I64+I152</f>
        <v>37654.369999999995</v>
      </c>
      <c r="J63" s="49">
        <f>J64+J152</f>
        <v>9404.7</v>
      </c>
      <c r="K63" s="49">
        <f>K64+K152</f>
        <v>0</v>
      </c>
      <c r="L63" s="21"/>
      <c r="M63" s="149"/>
      <c r="N63" s="141"/>
      <c r="O63" s="142"/>
      <c r="P63" s="142">
        <v>0</v>
      </c>
      <c r="Q63" s="142"/>
      <c r="R63" s="150"/>
      <c r="S63" s="33"/>
      <c r="T63" s="33"/>
      <c r="U63" s="150"/>
    </row>
    <row r="64" spans="1:37" ht="15.75" thickBot="1">
      <c r="A64" s="367">
        <f>A63+1</f>
        <v>49</v>
      </c>
      <c r="B64" s="368"/>
      <c r="C64" s="368"/>
      <c r="D64" s="369"/>
      <c r="E64" s="85" t="s">
        <v>136</v>
      </c>
      <c r="F64" s="49">
        <f>F65+F99+F141+F144+F145</f>
        <v>0</v>
      </c>
      <c r="G64" s="50">
        <f t="shared" si="7"/>
        <v>70631.75</v>
      </c>
      <c r="H64" s="49">
        <f>H65+H99+H141+H144+H145</f>
        <v>33419.83</v>
      </c>
      <c r="I64" s="49">
        <f>I65+I99+I141+I144+I145</f>
        <v>27807.219999999998</v>
      </c>
      <c r="J64" s="49">
        <f>J65+J99+J141+J144+J145</f>
        <v>9404.7</v>
      </c>
      <c r="K64" s="49">
        <f>K65+K99+K141+K144+K145</f>
        <v>0</v>
      </c>
      <c r="L64" s="21"/>
      <c r="M64" s="151"/>
      <c r="N64" s="151"/>
      <c r="O64" s="151"/>
      <c r="P64" s="151"/>
      <c r="Q64" s="151"/>
      <c r="R64" s="150"/>
      <c r="S64" s="150"/>
      <c r="T64" s="1" t="s">
        <v>137</v>
      </c>
      <c r="U64" s="1"/>
      <c r="AK64" s="83"/>
    </row>
    <row r="65" spans="1:21" ht="15.75" thickBot="1">
      <c r="A65" s="367">
        <f aca="true" t="shared" si="8" ref="A65:A128">A64+1</f>
        <v>50</v>
      </c>
      <c r="B65" s="368">
        <v>10</v>
      </c>
      <c r="C65" s="368"/>
      <c r="D65" s="369"/>
      <c r="E65" s="85" t="s">
        <v>138</v>
      </c>
      <c r="F65" s="49">
        <f>F66+F84+F91</f>
        <v>0</v>
      </c>
      <c r="G65" s="50">
        <f t="shared" si="7"/>
        <v>47014.67999999999</v>
      </c>
      <c r="H65" s="49">
        <f>H66+H84+H91</f>
        <v>19976.58</v>
      </c>
      <c r="I65" s="49">
        <f>I66+I84+I91</f>
        <v>18736.26</v>
      </c>
      <c r="J65" s="49">
        <f>J66+J84+J91</f>
        <v>8301.84</v>
      </c>
      <c r="K65" s="49">
        <f>K66+K84+K91</f>
        <v>0</v>
      </c>
      <c r="L65" s="21"/>
      <c r="M65" s="51"/>
      <c r="R65" s="152" t="s">
        <v>139</v>
      </c>
      <c r="S65" s="153" t="s">
        <v>140</v>
      </c>
      <c r="T65" s="154" t="s">
        <v>141</v>
      </c>
      <c r="U65" s="155"/>
    </row>
    <row r="66" spans="1:21" ht="17.25" customHeight="1">
      <c r="A66" s="367">
        <f t="shared" si="8"/>
        <v>51</v>
      </c>
      <c r="B66" s="368"/>
      <c r="C66" s="377" t="s">
        <v>47</v>
      </c>
      <c r="D66" s="369"/>
      <c r="E66" s="85" t="s">
        <v>142</v>
      </c>
      <c r="F66" s="49">
        <f>SUM(F67:F83)</f>
        <v>0</v>
      </c>
      <c r="G66" s="50">
        <f t="shared" si="7"/>
        <v>34979.189999999995</v>
      </c>
      <c r="H66" s="49">
        <f>SUM(H67:H83)</f>
        <v>15258.43</v>
      </c>
      <c r="I66" s="49">
        <f>SUM(I67:I83)</f>
        <v>13661.329999999998</v>
      </c>
      <c r="J66" s="49">
        <f>SUM(J67:J83)</f>
        <v>6059.429999999999</v>
      </c>
      <c r="K66" s="49">
        <f>SUM(K67:K83)</f>
        <v>0</v>
      </c>
      <c r="L66" s="21"/>
      <c r="M66" s="21"/>
      <c r="N66" s="21"/>
      <c r="R66" s="156">
        <v>1</v>
      </c>
      <c r="S66" s="157" t="s">
        <v>143</v>
      </c>
      <c r="T66" s="158">
        <v>0</v>
      </c>
      <c r="U66" s="159"/>
    </row>
    <row r="67" spans="1:21" ht="15.75" customHeight="1">
      <c r="A67" s="367">
        <f t="shared" si="8"/>
        <v>52</v>
      </c>
      <c r="B67" s="368"/>
      <c r="C67" s="368"/>
      <c r="D67" s="379" t="s">
        <v>47</v>
      </c>
      <c r="E67" s="66" t="s">
        <v>144</v>
      </c>
      <c r="F67" s="417">
        <f aca="true" t="shared" si="9" ref="F67:F90">+F183+F299+F531+F415</f>
        <v>0</v>
      </c>
      <c r="G67" s="79">
        <f t="shared" si="7"/>
        <v>26129.039999999997</v>
      </c>
      <c r="H67" s="417">
        <f aca="true" t="shared" si="10" ref="H67:K82">+H183+H299+H531+H415</f>
        <v>11387.59</v>
      </c>
      <c r="I67" s="417">
        <f t="shared" si="10"/>
        <v>10307.15</v>
      </c>
      <c r="J67" s="417">
        <f t="shared" si="10"/>
        <v>4434.3</v>
      </c>
      <c r="K67" s="417">
        <f t="shared" si="10"/>
        <v>0</v>
      </c>
      <c r="L67" s="21"/>
      <c r="M67" s="21"/>
      <c r="N67" s="21"/>
      <c r="R67" s="160">
        <v>2</v>
      </c>
      <c r="S67" s="158" t="s">
        <v>145</v>
      </c>
      <c r="T67" s="158">
        <v>0</v>
      </c>
      <c r="U67" s="161"/>
    </row>
    <row r="68" spans="1:21" ht="20.25" customHeight="1">
      <c r="A68" s="367">
        <f t="shared" si="8"/>
        <v>53</v>
      </c>
      <c r="B68" s="368"/>
      <c r="C68" s="368"/>
      <c r="D68" s="379" t="s">
        <v>80</v>
      </c>
      <c r="E68" s="66" t="s">
        <v>146</v>
      </c>
      <c r="F68" s="417">
        <f t="shared" si="9"/>
        <v>0</v>
      </c>
      <c r="G68" s="79">
        <f t="shared" si="7"/>
        <v>0</v>
      </c>
      <c r="H68" s="417">
        <f t="shared" si="10"/>
        <v>0</v>
      </c>
      <c r="I68" s="417">
        <f t="shared" si="10"/>
        <v>0</v>
      </c>
      <c r="J68" s="417">
        <f t="shared" si="10"/>
        <v>0</v>
      </c>
      <c r="K68" s="417">
        <f t="shared" si="10"/>
        <v>0</v>
      </c>
      <c r="L68" s="21"/>
      <c r="M68" s="21"/>
      <c r="R68" s="160">
        <v>3</v>
      </c>
      <c r="S68" s="158" t="s">
        <v>147</v>
      </c>
      <c r="T68" s="158">
        <v>0</v>
      </c>
      <c r="U68" s="159"/>
    </row>
    <row r="69" spans="1:21" ht="15" customHeight="1">
      <c r="A69" s="367">
        <f t="shared" si="8"/>
        <v>54</v>
      </c>
      <c r="B69" s="368"/>
      <c r="C69" s="368"/>
      <c r="D69" s="379" t="s">
        <v>84</v>
      </c>
      <c r="E69" s="66" t="s">
        <v>148</v>
      </c>
      <c r="F69" s="417">
        <f t="shared" si="9"/>
        <v>0</v>
      </c>
      <c r="G69" s="79">
        <f t="shared" si="7"/>
        <v>0</v>
      </c>
      <c r="H69" s="417">
        <f t="shared" si="10"/>
        <v>0</v>
      </c>
      <c r="I69" s="417">
        <f t="shared" si="10"/>
        <v>0</v>
      </c>
      <c r="J69" s="417">
        <f t="shared" si="10"/>
        <v>0</v>
      </c>
      <c r="K69" s="417">
        <f t="shared" si="10"/>
        <v>0</v>
      </c>
      <c r="L69" s="21"/>
      <c r="M69" s="21"/>
      <c r="R69" s="160">
        <v>4</v>
      </c>
      <c r="S69" s="158" t="s">
        <v>149</v>
      </c>
      <c r="T69" s="158">
        <v>0</v>
      </c>
      <c r="U69" s="162"/>
    </row>
    <row r="70" spans="1:21" ht="16.5" customHeight="1">
      <c r="A70" s="367">
        <f t="shared" si="8"/>
        <v>55</v>
      </c>
      <c r="B70" s="368"/>
      <c r="C70" s="368"/>
      <c r="D70" s="379" t="s">
        <v>108</v>
      </c>
      <c r="E70" s="66" t="s">
        <v>150</v>
      </c>
      <c r="F70" s="417">
        <f t="shared" si="9"/>
        <v>0</v>
      </c>
      <c r="G70" s="79">
        <f t="shared" si="7"/>
        <v>0</v>
      </c>
      <c r="H70" s="417">
        <f t="shared" si="10"/>
        <v>0</v>
      </c>
      <c r="I70" s="417">
        <f t="shared" si="10"/>
        <v>0</v>
      </c>
      <c r="J70" s="417">
        <f t="shared" si="10"/>
        <v>0</v>
      </c>
      <c r="K70" s="417">
        <f t="shared" si="10"/>
        <v>0</v>
      </c>
      <c r="L70" s="21"/>
      <c r="M70" s="21"/>
      <c r="R70" s="160">
        <v>5</v>
      </c>
      <c r="S70" s="158" t="s">
        <v>151</v>
      </c>
      <c r="T70" s="158">
        <v>0</v>
      </c>
      <c r="U70" s="162"/>
    </row>
    <row r="71" spans="1:21" ht="46.5" customHeight="1">
      <c r="A71" s="367">
        <f t="shared" si="8"/>
        <v>56</v>
      </c>
      <c r="B71" s="368"/>
      <c r="C71" s="368"/>
      <c r="D71" s="379" t="s">
        <v>41</v>
      </c>
      <c r="E71" s="66" t="s">
        <v>152</v>
      </c>
      <c r="F71" s="417">
        <f t="shared" si="9"/>
        <v>0</v>
      </c>
      <c r="G71" s="79">
        <f t="shared" si="7"/>
        <v>4990.42</v>
      </c>
      <c r="H71" s="417">
        <f t="shared" si="10"/>
        <v>2155.7</v>
      </c>
      <c r="I71" s="417">
        <f t="shared" si="10"/>
        <v>1875.47</v>
      </c>
      <c r="J71" s="417">
        <f t="shared" si="10"/>
        <v>959.25</v>
      </c>
      <c r="K71" s="417">
        <f t="shared" si="10"/>
        <v>0</v>
      </c>
      <c r="L71" s="21"/>
      <c r="M71" s="21"/>
      <c r="R71" s="160">
        <v>6</v>
      </c>
      <c r="S71" s="158" t="s">
        <v>153</v>
      </c>
      <c r="T71" s="158">
        <v>0</v>
      </c>
      <c r="U71" s="162"/>
    </row>
    <row r="72" spans="1:21" ht="15" customHeight="1" thickBot="1">
      <c r="A72" s="367">
        <f t="shared" si="8"/>
        <v>57</v>
      </c>
      <c r="B72" s="368"/>
      <c r="C72" s="368"/>
      <c r="D72" s="379" t="s">
        <v>154</v>
      </c>
      <c r="E72" s="66" t="s">
        <v>155</v>
      </c>
      <c r="F72" s="417">
        <f t="shared" si="9"/>
        <v>0</v>
      </c>
      <c r="G72" s="79">
        <f t="shared" si="7"/>
        <v>2208.71</v>
      </c>
      <c r="H72" s="417">
        <f t="shared" si="10"/>
        <v>994.85</v>
      </c>
      <c r="I72" s="417">
        <f t="shared" si="10"/>
        <v>842.17</v>
      </c>
      <c r="J72" s="417">
        <f t="shared" si="10"/>
        <v>371.69000000000005</v>
      </c>
      <c r="K72" s="417">
        <f t="shared" si="10"/>
        <v>0</v>
      </c>
      <c r="L72" s="21"/>
      <c r="M72" s="21"/>
      <c r="R72" s="163">
        <v>7</v>
      </c>
      <c r="S72" s="164" t="s">
        <v>156</v>
      </c>
      <c r="T72" s="158">
        <v>108.97</v>
      </c>
      <c r="U72" s="162"/>
    </row>
    <row r="73" spans="1:37" ht="12.75">
      <c r="A73" s="367">
        <f t="shared" si="8"/>
        <v>58</v>
      </c>
      <c r="B73" s="368"/>
      <c r="C73" s="368"/>
      <c r="D73" s="379" t="s">
        <v>157</v>
      </c>
      <c r="E73" s="66" t="s">
        <v>158</v>
      </c>
      <c r="F73" s="417">
        <f t="shared" si="9"/>
        <v>0</v>
      </c>
      <c r="G73" s="79">
        <f t="shared" si="7"/>
        <v>0</v>
      </c>
      <c r="H73" s="417">
        <f t="shared" si="10"/>
        <v>0</v>
      </c>
      <c r="I73" s="417">
        <f t="shared" si="10"/>
        <v>0</v>
      </c>
      <c r="J73" s="417">
        <f t="shared" si="10"/>
        <v>0</v>
      </c>
      <c r="K73" s="417">
        <f t="shared" si="10"/>
        <v>0</v>
      </c>
      <c r="L73" s="21"/>
      <c r="M73" s="21"/>
      <c r="AK73" s="83"/>
    </row>
    <row r="74" spans="1:13" ht="12.75">
      <c r="A74" s="367">
        <f t="shared" si="8"/>
        <v>59</v>
      </c>
      <c r="B74" s="368"/>
      <c r="C74" s="368"/>
      <c r="D74" s="379" t="s">
        <v>65</v>
      </c>
      <c r="E74" s="66" t="s">
        <v>159</v>
      </c>
      <c r="F74" s="417">
        <f t="shared" si="9"/>
        <v>0</v>
      </c>
      <c r="G74" s="79">
        <f t="shared" si="7"/>
        <v>0</v>
      </c>
      <c r="H74" s="417">
        <f t="shared" si="10"/>
        <v>0</v>
      </c>
      <c r="I74" s="417">
        <f t="shared" si="10"/>
        <v>0</v>
      </c>
      <c r="J74" s="417">
        <f t="shared" si="10"/>
        <v>0</v>
      </c>
      <c r="K74" s="417">
        <f t="shared" si="10"/>
        <v>0</v>
      </c>
      <c r="L74" s="21"/>
      <c r="M74" s="21"/>
    </row>
    <row r="75" spans="1:13" ht="12.75">
      <c r="A75" s="367">
        <f t="shared" si="8"/>
        <v>60</v>
      </c>
      <c r="B75" s="368"/>
      <c r="C75" s="368"/>
      <c r="D75" s="379" t="s">
        <v>160</v>
      </c>
      <c r="E75" s="66" t="s">
        <v>161</v>
      </c>
      <c r="F75" s="417">
        <f t="shared" si="9"/>
        <v>0</v>
      </c>
      <c r="G75" s="79">
        <f t="shared" si="7"/>
        <v>0</v>
      </c>
      <c r="H75" s="417">
        <f t="shared" si="10"/>
        <v>0</v>
      </c>
      <c r="I75" s="417">
        <f t="shared" si="10"/>
        <v>0</v>
      </c>
      <c r="J75" s="417">
        <f t="shared" si="10"/>
        <v>0</v>
      </c>
      <c r="K75" s="417">
        <f t="shared" si="10"/>
        <v>0</v>
      </c>
      <c r="L75" s="21"/>
      <c r="M75" s="21"/>
    </row>
    <row r="76" spans="1:37" ht="15">
      <c r="A76" s="367">
        <f t="shared" si="8"/>
        <v>61</v>
      </c>
      <c r="B76" s="368"/>
      <c r="C76" s="368"/>
      <c r="D76" s="369">
        <v>10</v>
      </c>
      <c r="E76" s="66" t="s">
        <v>162</v>
      </c>
      <c r="F76" s="417">
        <f t="shared" si="9"/>
        <v>0</v>
      </c>
      <c r="G76" s="79">
        <f t="shared" si="7"/>
        <v>0</v>
      </c>
      <c r="H76" s="417">
        <f t="shared" si="10"/>
        <v>0</v>
      </c>
      <c r="I76" s="417">
        <f t="shared" si="10"/>
        <v>0</v>
      </c>
      <c r="J76" s="417">
        <f t="shared" si="10"/>
        <v>0</v>
      </c>
      <c r="K76" s="417">
        <f t="shared" si="10"/>
        <v>0</v>
      </c>
      <c r="L76" s="21"/>
      <c r="M76" s="21"/>
      <c r="R76" s="11" t="s">
        <v>98</v>
      </c>
      <c r="S76" s="70"/>
      <c r="T76" s="70"/>
      <c r="U76" s="35" t="s">
        <v>99</v>
      </c>
      <c r="V76" s="70"/>
      <c r="W76" s="70"/>
      <c r="AK76">
        <v>238369.69</v>
      </c>
    </row>
    <row r="77" spans="1:37" ht="12.75">
      <c r="A77" s="367">
        <f t="shared" si="8"/>
        <v>62</v>
      </c>
      <c r="B77" s="368"/>
      <c r="C77" s="368"/>
      <c r="D77" s="369">
        <v>11</v>
      </c>
      <c r="E77" s="66" t="s">
        <v>163</v>
      </c>
      <c r="F77" s="417">
        <f t="shared" si="9"/>
        <v>0</v>
      </c>
      <c r="G77" s="79">
        <f t="shared" si="7"/>
        <v>1647.02</v>
      </c>
      <c r="H77" s="417">
        <f t="shared" si="10"/>
        <v>719.29</v>
      </c>
      <c r="I77" s="417">
        <f t="shared" si="10"/>
        <v>635.54</v>
      </c>
      <c r="J77" s="417">
        <f t="shared" si="10"/>
        <v>292.19</v>
      </c>
      <c r="K77" s="417">
        <f t="shared" si="10"/>
        <v>0</v>
      </c>
      <c r="L77" s="21"/>
      <c r="M77" s="21"/>
      <c r="AK77">
        <v>1222222</v>
      </c>
    </row>
    <row r="78" spans="1:37" ht="12.75">
      <c r="A78" s="367">
        <f t="shared" si="8"/>
        <v>63</v>
      </c>
      <c r="B78" s="368"/>
      <c r="C78" s="368"/>
      <c r="D78" s="369">
        <v>12</v>
      </c>
      <c r="E78" s="66" t="s">
        <v>164</v>
      </c>
      <c r="F78" s="417">
        <f t="shared" si="9"/>
        <v>0</v>
      </c>
      <c r="G78" s="79">
        <f t="shared" si="7"/>
        <v>0</v>
      </c>
      <c r="H78" s="417">
        <f t="shared" si="10"/>
        <v>0</v>
      </c>
      <c r="I78" s="417">
        <f t="shared" si="10"/>
        <v>0</v>
      </c>
      <c r="J78" s="417">
        <f t="shared" si="10"/>
        <v>0</v>
      </c>
      <c r="K78" s="417">
        <f t="shared" si="10"/>
        <v>0</v>
      </c>
      <c r="L78" s="21"/>
      <c r="M78" s="21"/>
      <c r="R78" s="130"/>
      <c r="S78" s="70"/>
      <c r="T78" s="70"/>
      <c r="AK78">
        <v>318400</v>
      </c>
    </row>
    <row r="79" spans="1:37" ht="12.75">
      <c r="A79" s="367">
        <f t="shared" si="8"/>
        <v>64</v>
      </c>
      <c r="B79" s="368"/>
      <c r="C79" s="368"/>
      <c r="D79" s="369">
        <v>13</v>
      </c>
      <c r="E79" s="66" t="s">
        <v>165</v>
      </c>
      <c r="F79" s="417">
        <f t="shared" si="9"/>
        <v>0</v>
      </c>
      <c r="G79" s="79">
        <f t="shared" si="7"/>
        <v>4</v>
      </c>
      <c r="H79" s="417">
        <f t="shared" si="10"/>
        <v>1</v>
      </c>
      <c r="I79" s="417">
        <f t="shared" si="10"/>
        <v>1</v>
      </c>
      <c r="J79" s="417">
        <f t="shared" si="10"/>
        <v>2</v>
      </c>
      <c r="K79" s="417">
        <f t="shared" si="10"/>
        <v>0</v>
      </c>
      <c r="L79" s="21"/>
      <c r="M79" s="21"/>
      <c r="AK79">
        <v>124305</v>
      </c>
    </row>
    <row r="80" spans="1:37" ht="12.75">
      <c r="A80" s="367">
        <f t="shared" si="8"/>
        <v>65</v>
      </c>
      <c r="B80" s="368"/>
      <c r="C80" s="368"/>
      <c r="D80" s="369">
        <v>14</v>
      </c>
      <c r="E80" s="66" t="s">
        <v>166</v>
      </c>
      <c r="F80" s="417">
        <f t="shared" si="9"/>
        <v>0</v>
      </c>
      <c r="G80" s="79">
        <f t="shared" si="7"/>
        <v>0</v>
      </c>
      <c r="H80" s="417">
        <f t="shared" si="10"/>
        <v>0</v>
      </c>
      <c r="I80" s="417">
        <f t="shared" si="10"/>
        <v>0</v>
      </c>
      <c r="J80" s="417">
        <f t="shared" si="10"/>
        <v>0</v>
      </c>
      <c r="K80" s="417">
        <f t="shared" si="10"/>
        <v>0</v>
      </c>
      <c r="L80" s="21"/>
      <c r="M80" s="21"/>
      <c r="AK80">
        <v>8799</v>
      </c>
    </row>
    <row r="81" spans="1:37" ht="12.75">
      <c r="A81" s="367">
        <f t="shared" si="8"/>
        <v>66</v>
      </c>
      <c r="B81" s="368"/>
      <c r="C81" s="368"/>
      <c r="D81" s="369">
        <v>15</v>
      </c>
      <c r="E81" s="66" t="s">
        <v>167</v>
      </c>
      <c r="F81" s="417">
        <f t="shared" si="9"/>
        <v>0</v>
      </c>
      <c r="G81" s="79">
        <f t="shared" si="7"/>
        <v>0</v>
      </c>
      <c r="H81" s="417">
        <f t="shared" si="10"/>
        <v>0</v>
      </c>
      <c r="I81" s="417">
        <f t="shared" si="10"/>
        <v>0</v>
      </c>
      <c r="J81" s="417">
        <f t="shared" si="10"/>
        <v>0</v>
      </c>
      <c r="K81" s="417">
        <f t="shared" si="10"/>
        <v>0</v>
      </c>
      <c r="L81" s="21"/>
      <c r="M81" s="21"/>
      <c r="AK81">
        <v>4284</v>
      </c>
    </row>
    <row r="82" spans="1:37" ht="12.75">
      <c r="A82" s="367">
        <f t="shared" si="8"/>
        <v>67</v>
      </c>
      <c r="B82" s="368"/>
      <c r="C82" s="368"/>
      <c r="D82" s="369">
        <v>16</v>
      </c>
      <c r="E82" s="66" t="s">
        <v>168</v>
      </c>
      <c r="F82" s="417">
        <f t="shared" si="9"/>
        <v>0</v>
      </c>
      <c r="G82" s="79">
        <f t="shared" si="7"/>
        <v>0</v>
      </c>
      <c r="H82" s="417">
        <f t="shared" si="10"/>
        <v>0</v>
      </c>
      <c r="I82" s="417">
        <f t="shared" si="10"/>
        <v>0</v>
      </c>
      <c r="J82" s="417">
        <f t="shared" si="10"/>
        <v>0</v>
      </c>
      <c r="K82" s="417">
        <f t="shared" si="10"/>
        <v>0</v>
      </c>
      <c r="L82" s="21"/>
      <c r="M82" s="21"/>
      <c r="AK82" s="83">
        <f>SUM(AK76:AK81)</f>
        <v>1916379.69</v>
      </c>
    </row>
    <row r="83" spans="1:13" ht="12.75">
      <c r="A83" s="367">
        <f t="shared" si="8"/>
        <v>68</v>
      </c>
      <c r="B83" s="368"/>
      <c r="C83" s="368"/>
      <c r="D83" s="369">
        <v>30</v>
      </c>
      <c r="E83" s="66" t="s">
        <v>169</v>
      </c>
      <c r="F83" s="417">
        <f t="shared" si="9"/>
        <v>0</v>
      </c>
      <c r="G83" s="79">
        <f t="shared" si="7"/>
        <v>0</v>
      </c>
      <c r="H83" s="417">
        <f aca="true" t="shared" si="11" ref="H83:K90">+H199+H315+H547+H431</f>
        <v>0</v>
      </c>
      <c r="I83" s="417">
        <f t="shared" si="11"/>
        <v>0</v>
      </c>
      <c r="J83" s="417">
        <f t="shared" si="11"/>
        <v>0</v>
      </c>
      <c r="K83" s="417">
        <f t="shared" si="11"/>
        <v>0</v>
      </c>
      <c r="L83" s="21"/>
      <c r="M83" s="21"/>
    </row>
    <row r="84" spans="1:13" ht="12.75">
      <c r="A84" s="367">
        <f t="shared" si="8"/>
        <v>69</v>
      </c>
      <c r="B84" s="368"/>
      <c r="C84" s="377" t="s">
        <v>80</v>
      </c>
      <c r="D84" s="369"/>
      <c r="E84" s="85" t="s">
        <v>170</v>
      </c>
      <c r="F84" s="49">
        <f t="shared" si="9"/>
        <v>0</v>
      </c>
      <c r="G84" s="50">
        <f t="shared" si="7"/>
        <v>2236.44</v>
      </c>
      <c r="H84" s="49">
        <f t="shared" si="11"/>
        <v>690.4399999999999</v>
      </c>
      <c r="I84" s="49">
        <f t="shared" si="11"/>
        <v>1066.87</v>
      </c>
      <c r="J84" s="49">
        <f t="shared" si="11"/>
        <v>479.13</v>
      </c>
      <c r="K84" s="124">
        <f t="shared" si="11"/>
        <v>0</v>
      </c>
      <c r="L84" s="21"/>
      <c r="M84" s="21"/>
    </row>
    <row r="85" spans="1:14" ht="12.75">
      <c r="A85" s="367">
        <f t="shared" si="8"/>
        <v>70</v>
      </c>
      <c r="B85" s="368"/>
      <c r="C85" s="368"/>
      <c r="D85" s="379" t="s">
        <v>47</v>
      </c>
      <c r="E85" s="66" t="s">
        <v>171</v>
      </c>
      <c r="F85" s="79">
        <f t="shared" si="9"/>
        <v>0</v>
      </c>
      <c r="G85" s="79">
        <f t="shared" si="7"/>
        <v>2236.44</v>
      </c>
      <c r="H85" s="79">
        <f t="shared" si="11"/>
        <v>690.4399999999999</v>
      </c>
      <c r="I85" s="79">
        <f t="shared" si="11"/>
        <v>1066.87</v>
      </c>
      <c r="J85" s="79">
        <f t="shared" si="11"/>
        <v>479.13</v>
      </c>
      <c r="K85" s="79">
        <f t="shared" si="11"/>
        <v>0</v>
      </c>
      <c r="L85" s="21"/>
      <c r="M85" s="21"/>
      <c r="N85" s="21"/>
    </row>
    <row r="86" spans="1:13" ht="12.75">
      <c r="A86" s="367">
        <f t="shared" si="8"/>
        <v>71</v>
      </c>
      <c r="B86" s="368"/>
      <c r="C86" s="368"/>
      <c r="D86" s="379" t="s">
        <v>80</v>
      </c>
      <c r="E86" s="66" t="s">
        <v>172</v>
      </c>
      <c r="F86" s="79">
        <f t="shared" si="9"/>
        <v>0</v>
      </c>
      <c r="G86" s="79">
        <f t="shared" si="7"/>
        <v>0</v>
      </c>
      <c r="H86" s="79">
        <f t="shared" si="11"/>
        <v>0</v>
      </c>
      <c r="I86" s="79">
        <f t="shared" si="11"/>
        <v>0</v>
      </c>
      <c r="J86" s="79">
        <f t="shared" si="11"/>
        <v>0</v>
      </c>
      <c r="K86" s="393">
        <f t="shared" si="11"/>
        <v>0</v>
      </c>
      <c r="L86" s="21"/>
      <c r="M86" s="21"/>
    </row>
    <row r="87" spans="1:13" ht="12.75">
      <c r="A87" s="367">
        <f t="shared" si="8"/>
        <v>72</v>
      </c>
      <c r="B87" s="368"/>
      <c r="C87" s="368"/>
      <c r="D87" s="379" t="s">
        <v>84</v>
      </c>
      <c r="E87" s="66" t="s">
        <v>173</v>
      </c>
      <c r="F87" s="79">
        <f t="shared" si="9"/>
        <v>0</v>
      </c>
      <c r="G87" s="79">
        <f t="shared" si="7"/>
        <v>0</v>
      </c>
      <c r="H87" s="79">
        <f t="shared" si="11"/>
        <v>0</v>
      </c>
      <c r="I87" s="79">
        <f t="shared" si="11"/>
        <v>0</v>
      </c>
      <c r="J87" s="79">
        <f t="shared" si="11"/>
        <v>0</v>
      </c>
      <c r="K87" s="393">
        <f t="shared" si="11"/>
        <v>0</v>
      </c>
      <c r="L87" s="21"/>
      <c r="M87" s="21"/>
    </row>
    <row r="88" spans="1:13" ht="12.75">
      <c r="A88" s="367">
        <f t="shared" si="8"/>
        <v>73</v>
      </c>
      <c r="B88" s="368"/>
      <c r="C88" s="368"/>
      <c r="D88" s="379" t="s">
        <v>108</v>
      </c>
      <c r="E88" s="66" t="s">
        <v>174</v>
      </c>
      <c r="F88" s="79">
        <f t="shared" si="9"/>
        <v>0</v>
      </c>
      <c r="G88" s="79">
        <f t="shared" si="7"/>
        <v>0</v>
      </c>
      <c r="H88" s="79">
        <f t="shared" si="11"/>
        <v>0</v>
      </c>
      <c r="I88" s="79">
        <f t="shared" si="11"/>
        <v>0</v>
      </c>
      <c r="J88" s="79">
        <f t="shared" si="11"/>
        <v>0</v>
      </c>
      <c r="K88" s="393">
        <f t="shared" si="11"/>
        <v>0</v>
      </c>
      <c r="L88" s="21"/>
      <c r="M88" s="21"/>
    </row>
    <row r="89" spans="1:13" ht="12.75">
      <c r="A89" s="367">
        <f t="shared" si="8"/>
        <v>74</v>
      </c>
      <c r="B89" s="368"/>
      <c r="C89" s="368"/>
      <c r="D89" s="379" t="s">
        <v>41</v>
      </c>
      <c r="E89" s="66" t="s">
        <v>175</v>
      </c>
      <c r="F89" s="79">
        <f t="shared" si="9"/>
        <v>0</v>
      </c>
      <c r="G89" s="79">
        <f t="shared" si="7"/>
        <v>0</v>
      </c>
      <c r="H89" s="79">
        <f t="shared" si="11"/>
        <v>0</v>
      </c>
      <c r="I89" s="79">
        <f t="shared" si="11"/>
        <v>0</v>
      </c>
      <c r="J89" s="79">
        <f t="shared" si="11"/>
        <v>0</v>
      </c>
      <c r="K89" s="393">
        <f t="shared" si="11"/>
        <v>0</v>
      </c>
      <c r="L89" s="21"/>
      <c r="M89" s="21"/>
    </row>
    <row r="90" spans="1:13" ht="12.75">
      <c r="A90" s="367">
        <f t="shared" si="8"/>
        <v>75</v>
      </c>
      <c r="B90" s="368"/>
      <c r="C90" s="368"/>
      <c r="D90" s="369">
        <v>30</v>
      </c>
      <c r="E90" s="66" t="s">
        <v>176</v>
      </c>
      <c r="F90" s="79">
        <f t="shared" si="9"/>
        <v>0</v>
      </c>
      <c r="G90" s="79">
        <f t="shared" si="7"/>
        <v>0</v>
      </c>
      <c r="H90" s="79">
        <f t="shared" si="11"/>
        <v>0</v>
      </c>
      <c r="I90" s="79">
        <f t="shared" si="11"/>
        <v>0</v>
      </c>
      <c r="J90" s="79">
        <f t="shared" si="11"/>
        <v>0</v>
      </c>
      <c r="K90" s="393">
        <f t="shared" si="11"/>
        <v>0</v>
      </c>
      <c r="L90" s="21"/>
      <c r="M90" s="21"/>
    </row>
    <row r="91" spans="1:14" ht="12.75">
      <c r="A91" s="367">
        <f t="shared" si="8"/>
        <v>76</v>
      </c>
      <c r="B91" s="368"/>
      <c r="C91" s="377" t="s">
        <v>84</v>
      </c>
      <c r="D91" s="369"/>
      <c r="E91" s="85" t="s">
        <v>177</v>
      </c>
      <c r="F91" s="49">
        <f>F92+F93+F94+F95+F96+F97+F98</f>
        <v>0</v>
      </c>
      <c r="G91" s="50">
        <f t="shared" si="7"/>
        <v>9799.050000000001</v>
      </c>
      <c r="H91" s="49">
        <f>H92+H93+H94+H95+H96+H97+H98</f>
        <v>4027.71</v>
      </c>
      <c r="I91" s="49">
        <f>I92+I93+I94+I95+I96+I97+I98</f>
        <v>4008.0600000000004</v>
      </c>
      <c r="J91" s="49">
        <f>J92+J93+J94+J95+J96+J97+J98</f>
        <v>1763.28</v>
      </c>
      <c r="K91" s="49">
        <f>K92+K93+K94+K95+K96+K97+K98</f>
        <v>0</v>
      </c>
      <c r="L91" s="21"/>
      <c r="M91" s="21"/>
      <c r="N91" s="21"/>
    </row>
    <row r="92" spans="1:13" ht="12.75">
      <c r="A92" s="367">
        <f t="shared" si="8"/>
        <v>77</v>
      </c>
      <c r="B92" s="368"/>
      <c r="C92" s="368"/>
      <c r="D92" s="379" t="s">
        <v>47</v>
      </c>
      <c r="E92" s="66" t="s">
        <v>178</v>
      </c>
      <c r="F92" s="79">
        <f aca="true" t="shared" si="12" ref="F92:F98">+F208+F324+F556+F440</f>
        <v>0</v>
      </c>
      <c r="G92" s="79">
        <f t="shared" si="7"/>
        <v>7481.18</v>
      </c>
      <c r="H92" s="79">
        <f aca="true" t="shared" si="13" ref="H92:K98">+H208+H324+H556+H440</f>
        <v>3109.4700000000003</v>
      </c>
      <c r="I92" s="79">
        <f t="shared" si="13"/>
        <v>3057.71</v>
      </c>
      <c r="J92" s="79">
        <f t="shared" si="13"/>
        <v>1314</v>
      </c>
      <c r="K92" s="79">
        <f t="shared" si="13"/>
        <v>0</v>
      </c>
      <c r="L92" s="21"/>
      <c r="M92" s="21"/>
    </row>
    <row r="93" spans="1:14" ht="12.75">
      <c r="A93" s="367">
        <f t="shared" si="8"/>
        <v>78</v>
      </c>
      <c r="B93" s="368"/>
      <c r="C93" s="368"/>
      <c r="D93" s="379" t="s">
        <v>80</v>
      </c>
      <c r="E93" s="66" t="s">
        <v>179</v>
      </c>
      <c r="F93" s="79">
        <f t="shared" si="12"/>
        <v>0</v>
      </c>
      <c r="G93" s="79">
        <f t="shared" si="7"/>
        <v>178.15</v>
      </c>
      <c r="H93" s="79">
        <f t="shared" si="13"/>
        <v>72.52</v>
      </c>
      <c r="I93" s="79">
        <f t="shared" si="13"/>
        <v>73.86</v>
      </c>
      <c r="J93" s="79">
        <f t="shared" si="13"/>
        <v>31.77</v>
      </c>
      <c r="K93" s="79">
        <f t="shared" si="13"/>
        <v>0</v>
      </c>
      <c r="L93" s="21"/>
      <c r="M93" s="21"/>
      <c r="N93" s="21"/>
    </row>
    <row r="94" spans="1:13" ht="12.75">
      <c r="A94" s="367">
        <f t="shared" si="8"/>
        <v>79</v>
      </c>
      <c r="B94" s="368"/>
      <c r="C94" s="368"/>
      <c r="D94" s="379" t="s">
        <v>84</v>
      </c>
      <c r="E94" s="66" t="s">
        <v>180</v>
      </c>
      <c r="F94" s="79">
        <f t="shared" si="12"/>
        <v>0</v>
      </c>
      <c r="G94" s="79">
        <f t="shared" si="7"/>
        <v>1824.4499999999998</v>
      </c>
      <c r="H94" s="79">
        <f t="shared" si="13"/>
        <v>763.66</v>
      </c>
      <c r="I94" s="79">
        <f t="shared" si="13"/>
        <v>727.29</v>
      </c>
      <c r="J94" s="79">
        <f t="shared" si="13"/>
        <v>333.5</v>
      </c>
      <c r="K94" s="79">
        <f t="shared" si="13"/>
        <v>0</v>
      </c>
      <c r="L94" s="21"/>
      <c r="M94" s="21"/>
    </row>
    <row r="95" spans="1:13" ht="12.75">
      <c r="A95" s="367">
        <f t="shared" si="8"/>
        <v>80</v>
      </c>
      <c r="B95" s="368"/>
      <c r="C95" s="368"/>
      <c r="D95" s="379" t="s">
        <v>108</v>
      </c>
      <c r="E95" s="66" t="s">
        <v>181</v>
      </c>
      <c r="F95" s="79">
        <f t="shared" si="12"/>
        <v>0</v>
      </c>
      <c r="G95" s="79">
        <f t="shared" si="7"/>
        <v>100.72999999999999</v>
      </c>
      <c r="H95" s="79">
        <f t="shared" si="13"/>
        <v>40.94</v>
      </c>
      <c r="I95" s="79">
        <f t="shared" si="13"/>
        <v>41.69</v>
      </c>
      <c r="J95" s="79">
        <f t="shared" si="13"/>
        <v>18.1</v>
      </c>
      <c r="K95" s="79">
        <f t="shared" si="13"/>
        <v>0</v>
      </c>
      <c r="L95" s="21"/>
      <c r="M95" s="21"/>
    </row>
    <row r="96" spans="1:13" ht="12.75">
      <c r="A96" s="367">
        <f t="shared" si="8"/>
        <v>81</v>
      </c>
      <c r="B96" s="368"/>
      <c r="C96" s="368"/>
      <c r="D96" s="379" t="s">
        <v>41</v>
      </c>
      <c r="E96" s="66" t="s">
        <v>182</v>
      </c>
      <c r="F96" s="79">
        <f t="shared" si="12"/>
        <v>0</v>
      </c>
      <c r="G96" s="79">
        <f t="shared" si="7"/>
        <v>0</v>
      </c>
      <c r="H96" s="79">
        <f t="shared" si="13"/>
        <v>0</v>
      </c>
      <c r="I96" s="79">
        <f t="shared" si="13"/>
        <v>0</v>
      </c>
      <c r="J96" s="79">
        <f t="shared" si="13"/>
        <v>0</v>
      </c>
      <c r="K96" s="79">
        <f t="shared" si="13"/>
        <v>0</v>
      </c>
      <c r="L96" s="21"/>
      <c r="M96" s="21"/>
    </row>
    <row r="97" spans="1:13" ht="12.75">
      <c r="A97" s="367">
        <f t="shared" si="8"/>
        <v>82</v>
      </c>
      <c r="B97" s="368"/>
      <c r="C97" s="368"/>
      <c r="D97" s="379" t="s">
        <v>154</v>
      </c>
      <c r="E97" s="66" t="s">
        <v>183</v>
      </c>
      <c r="F97" s="79">
        <f t="shared" si="12"/>
        <v>0</v>
      </c>
      <c r="G97" s="79">
        <f t="shared" si="7"/>
        <v>214.54</v>
      </c>
      <c r="H97" s="79">
        <f t="shared" si="13"/>
        <v>41.120000000000005</v>
      </c>
      <c r="I97" s="79">
        <f t="shared" si="13"/>
        <v>107.50999999999999</v>
      </c>
      <c r="J97" s="79">
        <f t="shared" si="13"/>
        <v>65.91</v>
      </c>
      <c r="K97" s="79">
        <f t="shared" si="13"/>
        <v>0</v>
      </c>
      <c r="L97" s="21"/>
      <c r="M97" s="21"/>
    </row>
    <row r="98" spans="1:13" ht="12.75">
      <c r="A98" s="367">
        <f t="shared" si="8"/>
        <v>83</v>
      </c>
      <c r="B98" s="368"/>
      <c r="C98" s="368"/>
      <c r="D98" s="379" t="s">
        <v>157</v>
      </c>
      <c r="E98" s="66" t="s">
        <v>184</v>
      </c>
      <c r="F98" s="79">
        <f t="shared" si="12"/>
        <v>0</v>
      </c>
      <c r="G98" s="79">
        <f t="shared" si="7"/>
        <v>0</v>
      </c>
      <c r="H98" s="79">
        <f t="shared" si="13"/>
        <v>0</v>
      </c>
      <c r="I98" s="79">
        <f t="shared" si="13"/>
        <v>0</v>
      </c>
      <c r="J98" s="79">
        <f t="shared" si="13"/>
        <v>0</v>
      </c>
      <c r="K98" s="79">
        <f t="shared" si="13"/>
        <v>0</v>
      </c>
      <c r="L98" s="21"/>
      <c r="M98" s="21"/>
    </row>
    <row r="99" spans="1:13" ht="12.75">
      <c r="A99" s="367">
        <f t="shared" si="8"/>
        <v>84</v>
      </c>
      <c r="B99" s="368">
        <v>20</v>
      </c>
      <c r="C99" s="368"/>
      <c r="D99" s="369"/>
      <c r="E99" s="85" t="s">
        <v>185</v>
      </c>
      <c r="F99" s="49">
        <f>F100+F111+F112+F115+F120+F124+F127+F128+F129+F130+F131+F132+F133+F134+F135</f>
        <v>0</v>
      </c>
      <c r="G99" s="50">
        <f t="shared" si="7"/>
        <v>20933.600000000002</v>
      </c>
      <c r="H99" s="49">
        <f>H100+H111+H112+H115+H120+H124+H127+H128+H129+H130+H131+H132+H133+H134+H135</f>
        <v>10759.780000000002</v>
      </c>
      <c r="I99" s="49">
        <f>I100+I111+I112+I115+I120+I124+I127+I128+I129+I130+I131+I132+I133+I134+I135</f>
        <v>9070.96</v>
      </c>
      <c r="J99" s="49">
        <f>J100+J111+J112+J115+J120+J124+J127+J128+J129+J130+J131+J132+J133+J134+J135</f>
        <v>1102.86</v>
      </c>
      <c r="K99" s="49">
        <f>K100+K111+K112+K115+K120+K124+K127+K128+K129+K130+K131+K132+K133+K134+K135</f>
        <v>0</v>
      </c>
      <c r="L99" s="21"/>
      <c r="M99" s="21"/>
    </row>
    <row r="100" spans="1:14" ht="12.75">
      <c r="A100" s="367">
        <f t="shared" si="8"/>
        <v>85</v>
      </c>
      <c r="B100" s="368"/>
      <c r="C100" s="377" t="s">
        <v>47</v>
      </c>
      <c r="D100" s="369"/>
      <c r="E100" s="85" t="s">
        <v>130</v>
      </c>
      <c r="F100" s="49">
        <f>SUM(F101:F110)</f>
        <v>0</v>
      </c>
      <c r="G100" s="50">
        <f t="shared" si="7"/>
        <v>6773.3899999999985</v>
      </c>
      <c r="H100" s="49">
        <f>SUM(H101:H110)</f>
        <v>3305.7899999999995</v>
      </c>
      <c r="I100" s="49">
        <f>SUM(I101:I110)</f>
        <v>3071.1499999999996</v>
      </c>
      <c r="J100" s="49">
        <f>SUM(J101:J110)</f>
        <v>396.45</v>
      </c>
      <c r="K100" s="49">
        <f>SUM(K101:K110)</f>
        <v>0</v>
      </c>
      <c r="L100" s="21"/>
      <c r="M100" s="21"/>
      <c r="N100" s="21"/>
    </row>
    <row r="101" spans="1:14" ht="12.75">
      <c r="A101" s="367">
        <f t="shared" si="8"/>
        <v>86</v>
      </c>
      <c r="B101" s="368"/>
      <c r="C101" s="368"/>
      <c r="D101" s="379" t="s">
        <v>47</v>
      </c>
      <c r="E101" s="66" t="s">
        <v>186</v>
      </c>
      <c r="F101" s="79">
        <f aca="true" t="shared" si="14" ref="F101:F110">+F217+F333+F565+F449</f>
        <v>0</v>
      </c>
      <c r="G101" s="79">
        <f t="shared" si="7"/>
        <v>171.49999999999997</v>
      </c>
      <c r="H101" s="79">
        <f aca="true" t="shared" si="15" ref="H101:K110">+H217+H333+H565+H449</f>
        <v>76.86</v>
      </c>
      <c r="I101" s="79">
        <f t="shared" si="15"/>
        <v>70.85</v>
      </c>
      <c r="J101" s="79">
        <f t="shared" si="15"/>
        <v>23.79</v>
      </c>
      <c r="K101" s="79">
        <f t="shared" si="15"/>
        <v>0</v>
      </c>
      <c r="L101" s="21"/>
      <c r="M101" s="21"/>
      <c r="N101" s="21"/>
    </row>
    <row r="102" spans="1:14" ht="12.75">
      <c r="A102" s="367">
        <f t="shared" si="8"/>
        <v>87</v>
      </c>
      <c r="B102" s="368"/>
      <c r="C102" s="368"/>
      <c r="D102" s="379" t="s">
        <v>80</v>
      </c>
      <c r="E102" s="66" t="s">
        <v>187</v>
      </c>
      <c r="F102" s="79">
        <f t="shared" si="14"/>
        <v>0</v>
      </c>
      <c r="G102" s="79">
        <f t="shared" si="7"/>
        <v>232.59000000000003</v>
      </c>
      <c r="H102" s="79">
        <f t="shared" si="15"/>
        <v>92.82000000000001</v>
      </c>
      <c r="I102" s="79">
        <f t="shared" si="15"/>
        <v>108.09</v>
      </c>
      <c r="J102" s="79">
        <f t="shared" si="15"/>
        <v>31.68</v>
      </c>
      <c r="K102" s="79">
        <f t="shared" si="15"/>
        <v>0</v>
      </c>
      <c r="L102" s="21"/>
      <c r="M102" s="21"/>
      <c r="N102" s="21"/>
    </row>
    <row r="103" spans="1:14" ht="12.75">
      <c r="A103" s="367">
        <f t="shared" si="8"/>
        <v>88</v>
      </c>
      <c r="B103" s="368"/>
      <c r="C103" s="368"/>
      <c r="D103" s="379" t="s">
        <v>84</v>
      </c>
      <c r="E103" s="66" t="s">
        <v>188</v>
      </c>
      <c r="F103" s="79">
        <f t="shared" si="14"/>
        <v>0</v>
      </c>
      <c r="G103" s="79">
        <f t="shared" si="7"/>
        <v>1572.87</v>
      </c>
      <c r="H103" s="79">
        <f t="shared" si="15"/>
        <v>832.88</v>
      </c>
      <c r="I103" s="79">
        <f t="shared" si="15"/>
        <v>739.99</v>
      </c>
      <c r="J103" s="79">
        <f t="shared" si="15"/>
        <v>0</v>
      </c>
      <c r="K103" s="79">
        <f t="shared" si="15"/>
        <v>0</v>
      </c>
      <c r="L103" s="21"/>
      <c r="M103" s="21"/>
      <c r="N103" s="21"/>
    </row>
    <row r="104" spans="1:14" ht="12.75">
      <c r="A104" s="367">
        <f t="shared" si="8"/>
        <v>89</v>
      </c>
      <c r="B104" s="368"/>
      <c r="C104" s="368"/>
      <c r="D104" s="379" t="s">
        <v>108</v>
      </c>
      <c r="E104" s="66" t="s">
        <v>189</v>
      </c>
      <c r="F104" s="79">
        <f t="shared" si="14"/>
        <v>0</v>
      </c>
      <c r="G104" s="79">
        <f t="shared" si="7"/>
        <v>731.24</v>
      </c>
      <c r="H104" s="79">
        <f t="shared" si="15"/>
        <v>428.12</v>
      </c>
      <c r="I104" s="79">
        <f t="shared" si="15"/>
        <v>303.12</v>
      </c>
      <c r="J104" s="79">
        <f t="shared" si="15"/>
        <v>0</v>
      </c>
      <c r="K104" s="79">
        <f t="shared" si="15"/>
        <v>0</v>
      </c>
      <c r="L104" s="21"/>
      <c r="M104" s="21"/>
      <c r="N104" s="21"/>
    </row>
    <row r="105" spans="1:14" ht="12.75">
      <c r="A105" s="367">
        <f t="shared" si="8"/>
        <v>90</v>
      </c>
      <c r="B105" s="368"/>
      <c r="C105" s="368"/>
      <c r="D105" s="379" t="s">
        <v>41</v>
      </c>
      <c r="E105" s="66" t="s">
        <v>190</v>
      </c>
      <c r="F105" s="79">
        <f t="shared" si="14"/>
        <v>0</v>
      </c>
      <c r="G105" s="79">
        <f t="shared" si="7"/>
        <v>50</v>
      </c>
      <c r="H105" s="79">
        <f t="shared" si="15"/>
        <v>25</v>
      </c>
      <c r="I105" s="79">
        <f t="shared" si="15"/>
        <v>25</v>
      </c>
      <c r="J105" s="79">
        <f t="shared" si="15"/>
        <v>0</v>
      </c>
      <c r="K105" s="79">
        <f t="shared" si="15"/>
        <v>0</v>
      </c>
      <c r="L105" s="21"/>
      <c r="M105" s="21"/>
      <c r="N105" s="21"/>
    </row>
    <row r="106" spans="1:14" ht="12.75">
      <c r="A106" s="367">
        <f t="shared" si="8"/>
        <v>91</v>
      </c>
      <c r="B106" s="368"/>
      <c r="C106" s="368"/>
      <c r="D106" s="379" t="s">
        <v>154</v>
      </c>
      <c r="E106" s="66" t="s">
        <v>191</v>
      </c>
      <c r="F106" s="79">
        <f t="shared" si="14"/>
        <v>0</v>
      </c>
      <c r="G106" s="79">
        <f t="shared" si="7"/>
        <v>512.13</v>
      </c>
      <c r="H106" s="79">
        <f t="shared" si="15"/>
        <v>209.94</v>
      </c>
      <c r="I106" s="79">
        <f t="shared" si="15"/>
        <v>170.04000000000002</v>
      </c>
      <c r="J106" s="79">
        <f t="shared" si="15"/>
        <v>132.15</v>
      </c>
      <c r="K106" s="79">
        <f t="shared" si="15"/>
        <v>0</v>
      </c>
      <c r="L106" s="21"/>
      <c r="M106" s="21"/>
      <c r="N106" s="21"/>
    </row>
    <row r="107" spans="1:14" ht="12.75">
      <c r="A107" s="367">
        <f t="shared" si="8"/>
        <v>92</v>
      </c>
      <c r="B107" s="368"/>
      <c r="C107" s="368"/>
      <c r="D107" s="379" t="s">
        <v>157</v>
      </c>
      <c r="E107" s="66" t="s">
        <v>192</v>
      </c>
      <c r="F107" s="79">
        <f t="shared" si="14"/>
        <v>0</v>
      </c>
      <c r="G107" s="79">
        <f t="shared" si="7"/>
        <v>138.62</v>
      </c>
      <c r="H107" s="79">
        <f t="shared" si="15"/>
        <v>79.31</v>
      </c>
      <c r="I107" s="79">
        <f t="shared" si="15"/>
        <v>59.31</v>
      </c>
      <c r="J107" s="79">
        <f t="shared" si="15"/>
        <v>0</v>
      </c>
      <c r="K107" s="79">
        <f t="shared" si="15"/>
        <v>0</v>
      </c>
      <c r="L107" s="21"/>
      <c r="M107" s="21"/>
      <c r="N107" s="21"/>
    </row>
    <row r="108" spans="1:14" ht="12.75">
      <c r="A108" s="367">
        <f t="shared" si="8"/>
        <v>93</v>
      </c>
      <c r="B108" s="368"/>
      <c r="C108" s="368"/>
      <c r="D108" s="379" t="s">
        <v>65</v>
      </c>
      <c r="E108" s="66" t="s">
        <v>193</v>
      </c>
      <c r="F108" s="79">
        <f t="shared" si="14"/>
        <v>0</v>
      </c>
      <c r="G108" s="79">
        <f t="shared" si="7"/>
        <v>166.01999999999998</v>
      </c>
      <c r="H108" s="79">
        <f t="shared" si="15"/>
        <v>138.01</v>
      </c>
      <c r="I108" s="79">
        <f t="shared" si="15"/>
        <v>28.00999999999999</v>
      </c>
      <c r="J108" s="79">
        <f t="shared" si="15"/>
        <v>0</v>
      </c>
      <c r="K108" s="79">
        <f t="shared" si="15"/>
        <v>0</v>
      </c>
      <c r="L108" s="21"/>
      <c r="M108" s="21"/>
      <c r="N108" s="21"/>
    </row>
    <row r="109" spans="1:14" ht="12.75">
      <c r="A109" s="367">
        <f t="shared" si="8"/>
        <v>94</v>
      </c>
      <c r="B109" s="368"/>
      <c r="C109" s="368"/>
      <c r="D109" s="379" t="s">
        <v>160</v>
      </c>
      <c r="E109" s="66" t="s">
        <v>194</v>
      </c>
      <c r="F109" s="79">
        <f t="shared" si="14"/>
        <v>0</v>
      </c>
      <c r="G109" s="79">
        <f t="shared" si="7"/>
        <v>92.52000000000001</v>
      </c>
      <c r="H109" s="79">
        <f t="shared" si="15"/>
        <v>50.24</v>
      </c>
      <c r="I109" s="79">
        <f t="shared" si="15"/>
        <v>42.28</v>
      </c>
      <c r="J109" s="79">
        <f t="shared" si="15"/>
        <v>0</v>
      </c>
      <c r="K109" s="79">
        <f t="shared" si="15"/>
        <v>0</v>
      </c>
      <c r="L109" s="21"/>
      <c r="M109" s="21"/>
      <c r="N109" s="21"/>
    </row>
    <row r="110" spans="1:14" ht="12.75">
      <c r="A110" s="367">
        <f t="shared" si="8"/>
        <v>95</v>
      </c>
      <c r="B110" s="368"/>
      <c r="C110" s="368"/>
      <c r="D110" s="369">
        <v>30</v>
      </c>
      <c r="E110" s="66" t="s">
        <v>195</v>
      </c>
      <c r="F110" s="79">
        <f t="shared" si="14"/>
        <v>0</v>
      </c>
      <c r="G110" s="79">
        <f t="shared" si="7"/>
        <v>3105.8999999999996</v>
      </c>
      <c r="H110" s="79">
        <f t="shared" si="15"/>
        <v>1372.6099999999997</v>
      </c>
      <c r="I110" s="79">
        <f t="shared" si="15"/>
        <v>1524.4599999999998</v>
      </c>
      <c r="J110" s="79">
        <f t="shared" si="15"/>
        <v>208.82999999999998</v>
      </c>
      <c r="K110" s="79">
        <f t="shared" si="15"/>
        <v>0</v>
      </c>
      <c r="L110" s="21"/>
      <c r="M110" s="21"/>
      <c r="N110" s="21"/>
    </row>
    <row r="111" spans="1:14" ht="12.75">
      <c r="A111" s="367">
        <f t="shared" si="8"/>
        <v>96</v>
      </c>
      <c r="B111" s="368"/>
      <c r="C111" s="377" t="s">
        <v>80</v>
      </c>
      <c r="D111" s="369"/>
      <c r="E111" s="85" t="s">
        <v>196</v>
      </c>
      <c r="F111" s="49">
        <f>+F227+F343+F459+F575</f>
        <v>0</v>
      </c>
      <c r="G111" s="50">
        <f t="shared" si="7"/>
        <v>815.5</v>
      </c>
      <c r="H111" s="49">
        <f>+H227+H343+H459+H575</f>
        <v>299.94</v>
      </c>
      <c r="I111" s="49">
        <f>+I227+I343+I459+I575</f>
        <v>402.76</v>
      </c>
      <c r="J111" s="49">
        <f>+J227+J343+J459+J575</f>
        <v>112.8</v>
      </c>
      <c r="K111" s="124">
        <f>+K227+K343+K459+K575</f>
        <v>0</v>
      </c>
      <c r="L111" s="21"/>
      <c r="M111" s="21"/>
      <c r="N111" s="21"/>
    </row>
    <row r="112" spans="1:14" ht="12.75">
      <c r="A112" s="367">
        <f t="shared" si="8"/>
        <v>97</v>
      </c>
      <c r="B112" s="368"/>
      <c r="C112" s="377" t="s">
        <v>84</v>
      </c>
      <c r="D112" s="369"/>
      <c r="E112" s="85" t="s">
        <v>197</v>
      </c>
      <c r="F112" s="49">
        <f>F113+F114</f>
        <v>0</v>
      </c>
      <c r="G112" s="50">
        <f t="shared" si="7"/>
        <v>1218.0900000000001</v>
      </c>
      <c r="H112" s="49">
        <f>H113+H114</f>
        <v>414.45000000000005</v>
      </c>
      <c r="I112" s="49">
        <f>I113+I114</f>
        <v>614.45</v>
      </c>
      <c r="J112" s="49">
        <f>J113+J114</f>
        <v>189.19</v>
      </c>
      <c r="K112" s="49">
        <f>K113+K114</f>
        <v>0</v>
      </c>
      <c r="L112" s="21"/>
      <c r="M112" s="21"/>
      <c r="N112" s="21"/>
    </row>
    <row r="113" spans="1:14" ht="12.75">
      <c r="A113" s="367">
        <f t="shared" si="8"/>
        <v>98</v>
      </c>
      <c r="B113" s="368"/>
      <c r="C113" s="368"/>
      <c r="D113" s="379" t="s">
        <v>47</v>
      </c>
      <c r="E113" s="66" t="s">
        <v>198</v>
      </c>
      <c r="F113" s="79">
        <f>+F229+F345+F577+F461</f>
        <v>0</v>
      </c>
      <c r="G113" s="79">
        <f t="shared" si="7"/>
        <v>1218.0900000000001</v>
      </c>
      <c r="H113" s="79">
        <f aca="true" t="shared" si="16" ref="H113:K114">+H229+H345+H577+H461</f>
        <v>414.45000000000005</v>
      </c>
      <c r="I113" s="79">
        <f t="shared" si="16"/>
        <v>614.45</v>
      </c>
      <c r="J113" s="79">
        <f t="shared" si="16"/>
        <v>189.19</v>
      </c>
      <c r="K113" s="79">
        <f t="shared" si="16"/>
        <v>0</v>
      </c>
      <c r="L113" s="21"/>
      <c r="M113" s="21"/>
      <c r="N113" s="21"/>
    </row>
    <row r="114" spans="1:14" ht="12.75">
      <c r="A114" s="367">
        <f t="shared" si="8"/>
        <v>99</v>
      </c>
      <c r="B114" s="368"/>
      <c r="C114" s="368"/>
      <c r="D114" s="379" t="s">
        <v>80</v>
      </c>
      <c r="E114" s="66" t="s">
        <v>199</v>
      </c>
      <c r="F114" s="79">
        <f>+F230+F346+F578+F462</f>
        <v>0</v>
      </c>
      <c r="G114" s="79">
        <f t="shared" si="7"/>
        <v>0</v>
      </c>
      <c r="H114" s="79">
        <f t="shared" si="16"/>
        <v>0</v>
      </c>
      <c r="I114" s="79">
        <f t="shared" si="16"/>
        <v>0</v>
      </c>
      <c r="J114" s="79">
        <f t="shared" si="16"/>
        <v>0</v>
      </c>
      <c r="K114" s="79">
        <f t="shared" si="16"/>
        <v>0</v>
      </c>
      <c r="L114" s="21"/>
      <c r="M114" s="21"/>
      <c r="N114" s="21"/>
    </row>
    <row r="115" spans="1:14" ht="12.75">
      <c r="A115" s="367">
        <f t="shared" si="8"/>
        <v>100</v>
      </c>
      <c r="B115" s="368"/>
      <c r="C115" s="377" t="s">
        <v>108</v>
      </c>
      <c r="D115" s="369"/>
      <c r="E115" s="85" t="s">
        <v>200</v>
      </c>
      <c r="F115" s="49">
        <f>+F231+F347+F463+F579</f>
        <v>0</v>
      </c>
      <c r="G115" s="50">
        <f t="shared" si="7"/>
        <v>11501.950000000003</v>
      </c>
      <c r="H115" s="49">
        <f>+H231+H347+H463+H579</f>
        <v>6307.1100000000015</v>
      </c>
      <c r="I115" s="49">
        <f>+I231+I347+I463+I579</f>
        <v>4839.97</v>
      </c>
      <c r="J115" s="49">
        <f>+J231+J347+J463+J579</f>
        <v>354.87</v>
      </c>
      <c r="K115" s="124">
        <f>+K231+K347+K463+K579</f>
        <v>0</v>
      </c>
      <c r="L115" s="21"/>
      <c r="M115" s="21"/>
      <c r="N115" s="21"/>
    </row>
    <row r="116" spans="1:14" ht="12.75">
      <c r="A116" s="367">
        <f t="shared" si="8"/>
        <v>101</v>
      </c>
      <c r="B116" s="368"/>
      <c r="C116" s="368"/>
      <c r="D116" s="379" t="s">
        <v>47</v>
      </c>
      <c r="E116" s="66" t="s">
        <v>201</v>
      </c>
      <c r="F116" s="79">
        <f>+F232+F348+F580+F464</f>
        <v>0</v>
      </c>
      <c r="G116" s="79">
        <f t="shared" si="7"/>
        <v>6097.33</v>
      </c>
      <c r="H116" s="79">
        <f aca="true" t="shared" si="17" ref="H116:K119">+H232+H348+H580+H464</f>
        <v>2619.8599999999997</v>
      </c>
      <c r="I116" s="79">
        <f t="shared" si="17"/>
        <v>3240.9900000000002</v>
      </c>
      <c r="J116" s="79">
        <f t="shared" si="17"/>
        <v>236.48</v>
      </c>
      <c r="K116" s="79">
        <f t="shared" si="17"/>
        <v>0</v>
      </c>
      <c r="L116" s="21"/>
      <c r="M116" s="21"/>
      <c r="N116" s="21"/>
    </row>
    <row r="117" spans="1:14" ht="12.75">
      <c r="A117" s="367">
        <f t="shared" si="8"/>
        <v>102</v>
      </c>
      <c r="B117" s="368"/>
      <c r="C117" s="368"/>
      <c r="D117" s="379" t="s">
        <v>80</v>
      </c>
      <c r="E117" s="66" t="s">
        <v>202</v>
      </c>
      <c r="F117" s="79">
        <f>+F233+F349+F581+F465</f>
        <v>0</v>
      </c>
      <c r="G117" s="79">
        <f t="shared" si="7"/>
        <v>3782.08</v>
      </c>
      <c r="H117" s="79">
        <f t="shared" si="17"/>
        <v>2671.67</v>
      </c>
      <c r="I117" s="79">
        <f t="shared" si="17"/>
        <v>982.44</v>
      </c>
      <c r="J117" s="79">
        <f t="shared" si="17"/>
        <v>127.97</v>
      </c>
      <c r="K117" s="79">
        <f t="shared" si="17"/>
        <v>0</v>
      </c>
      <c r="L117" s="21"/>
      <c r="M117" s="21"/>
      <c r="N117" s="21"/>
    </row>
    <row r="118" spans="1:14" ht="12.75">
      <c r="A118" s="367">
        <f t="shared" si="8"/>
        <v>103</v>
      </c>
      <c r="B118" s="368"/>
      <c r="C118" s="368"/>
      <c r="D118" s="379" t="s">
        <v>84</v>
      </c>
      <c r="E118" s="66" t="s">
        <v>203</v>
      </c>
      <c r="F118" s="79">
        <f>+F234+F350+F582+F466</f>
        <v>0</v>
      </c>
      <c r="G118" s="79">
        <f t="shared" si="7"/>
        <v>1257.8899999999999</v>
      </c>
      <c r="H118" s="79">
        <f t="shared" si="17"/>
        <v>835.27</v>
      </c>
      <c r="I118" s="79">
        <f t="shared" si="17"/>
        <v>441.87</v>
      </c>
      <c r="J118" s="79">
        <f t="shared" si="17"/>
        <v>-19.25</v>
      </c>
      <c r="K118" s="79">
        <f t="shared" si="17"/>
        <v>0</v>
      </c>
      <c r="L118" s="21"/>
      <c r="M118" s="21"/>
      <c r="N118" s="21"/>
    </row>
    <row r="119" spans="1:14" ht="12.75">
      <c r="A119" s="367">
        <f t="shared" si="8"/>
        <v>104</v>
      </c>
      <c r="B119" s="368"/>
      <c r="C119" s="368"/>
      <c r="D119" s="379" t="s">
        <v>108</v>
      </c>
      <c r="E119" s="66" t="s">
        <v>204</v>
      </c>
      <c r="F119" s="79">
        <f>+F235+F351+F583+F467</f>
        <v>0</v>
      </c>
      <c r="G119" s="79">
        <f t="shared" si="7"/>
        <v>364.65</v>
      </c>
      <c r="H119" s="79">
        <f t="shared" si="17"/>
        <v>180.30999999999997</v>
      </c>
      <c r="I119" s="79">
        <f t="shared" si="17"/>
        <v>174.67</v>
      </c>
      <c r="J119" s="79">
        <f t="shared" si="17"/>
        <v>9.67</v>
      </c>
      <c r="K119" s="79">
        <f t="shared" si="17"/>
        <v>0</v>
      </c>
      <c r="L119" s="21"/>
      <c r="M119" s="21"/>
      <c r="N119" s="21"/>
    </row>
    <row r="120" spans="1:14" ht="12.75">
      <c r="A120" s="367">
        <f t="shared" si="8"/>
        <v>105</v>
      </c>
      <c r="B120" s="368"/>
      <c r="C120" s="377" t="s">
        <v>41</v>
      </c>
      <c r="D120" s="369"/>
      <c r="E120" s="85" t="s">
        <v>205</v>
      </c>
      <c r="F120" s="49">
        <f>F121+F122+F123</f>
        <v>0</v>
      </c>
      <c r="G120" s="50">
        <f t="shared" si="7"/>
        <v>385.84000000000003</v>
      </c>
      <c r="H120" s="49">
        <f>H121+H122+H123</f>
        <v>338.79</v>
      </c>
      <c r="I120" s="49">
        <f>I121+I122+I123</f>
        <v>22.98</v>
      </c>
      <c r="J120" s="49">
        <f>J121+J122+J123</f>
        <v>24.07</v>
      </c>
      <c r="K120" s="49">
        <f>K121+K122+K123</f>
        <v>0</v>
      </c>
      <c r="L120" s="21"/>
      <c r="M120" s="21"/>
      <c r="N120" s="21"/>
    </row>
    <row r="121" spans="1:14" ht="12.75">
      <c r="A121" s="367">
        <f t="shared" si="8"/>
        <v>106</v>
      </c>
      <c r="B121" s="368"/>
      <c r="C121" s="368"/>
      <c r="D121" s="379" t="s">
        <v>47</v>
      </c>
      <c r="E121" s="66" t="s">
        <v>206</v>
      </c>
      <c r="F121" s="79">
        <f>+F237+F353+F585+F469</f>
        <v>0</v>
      </c>
      <c r="G121" s="79">
        <f t="shared" si="7"/>
        <v>10.14</v>
      </c>
      <c r="H121" s="79">
        <f aca="true" t="shared" si="18" ref="H121:K123">+H237+H353+H585+H469</f>
        <v>1.57</v>
      </c>
      <c r="I121" s="79">
        <f t="shared" si="18"/>
        <v>8.57</v>
      </c>
      <c r="J121" s="79">
        <f t="shared" si="18"/>
        <v>0</v>
      </c>
      <c r="K121" s="79">
        <f t="shared" si="18"/>
        <v>0</v>
      </c>
      <c r="L121" s="21"/>
      <c r="M121" s="21"/>
      <c r="N121" s="21"/>
    </row>
    <row r="122" spans="1:14" ht="12.75">
      <c r="A122" s="367">
        <f t="shared" si="8"/>
        <v>107</v>
      </c>
      <c r="B122" s="368"/>
      <c r="C122" s="368"/>
      <c r="D122" s="379" t="s">
        <v>84</v>
      </c>
      <c r="E122" s="66" t="s">
        <v>207</v>
      </c>
      <c r="F122" s="79">
        <f>+F238+F354+F586+F470</f>
        <v>0</v>
      </c>
      <c r="G122" s="79">
        <f t="shared" si="7"/>
        <v>12.68</v>
      </c>
      <c r="H122" s="79">
        <f t="shared" si="18"/>
        <v>6.34</v>
      </c>
      <c r="I122" s="79">
        <f t="shared" si="18"/>
        <v>6.34</v>
      </c>
      <c r="J122" s="79">
        <f t="shared" si="18"/>
        <v>0</v>
      </c>
      <c r="K122" s="79">
        <f t="shared" si="18"/>
        <v>0</v>
      </c>
      <c r="L122" s="21"/>
      <c r="M122" s="21"/>
      <c r="N122" s="21"/>
    </row>
    <row r="123" spans="1:14" ht="12.75">
      <c r="A123" s="367">
        <f t="shared" si="8"/>
        <v>108</v>
      </c>
      <c r="B123" s="368"/>
      <c r="C123" s="368"/>
      <c r="D123" s="369">
        <v>30</v>
      </c>
      <c r="E123" s="66" t="s">
        <v>208</v>
      </c>
      <c r="F123" s="79">
        <f>+F239+F355+F587+F471</f>
        <v>0</v>
      </c>
      <c r="G123" s="79">
        <f t="shared" si="7"/>
        <v>363.02</v>
      </c>
      <c r="H123" s="79">
        <f t="shared" si="18"/>
        <v>330.88</v>
      </c>
      <c r="I123" s="79">
        <f t="shared" si="18"/>
        <v>8.07</v>
      </c>
      <c r="J123" s="79">
        <f t="shared" si="18"/>
        <v>24.07</v>
      </c>
      <c r="K123" s="79">
        <f t="shared" si="18"/>
        <v>0</v>
      </c>
      <c r="L123" s="21"/>
      <c r="M123" s="21"/>
      <c r="N123" s="21"/>
    </row>
    <row r="124" spans="1:14" ht="12.75">
      <c r="A124" s="367">
        <f t="shared" si="8"/>
        <v>109</v>
      </c>
      <c r="B124" s="368"/>
      <c r="C124" s="377" t="s">
        <v>154</v>
      </c>
      <c r="D124" s="369"/>
      <c r="E124" s="85" t="s">
        <v>209</v>
      </c>
      <c r="F124" s="49">
        <f>F125+F126</f>
        <v>0</v>
      </c>
      <c r="G124" s="50">
        <f t="shared" si="7"/>
        <v>13.690000000000001</v>
      </c>
      <c r="H124" s="49">
        <f>H125+H126</f>
        <v>6</v>
      </c>
      <c r="I124" s="49">
        <f>I125+I126</f>
        <v>5.21</v>
      </c>
      <c r="J124" s="49">
        <f>J125+J126</f>
        <v>2.48</v>
      </c>
      <c r="K124" s="49">
        <f>K125+K126</f>
        <v>0</v>
      </c>
      <c r="L124" s="21"/>
      <c r="M124" s="21"/>
      <c r="N124" s="21"/>
    </row>
    <row r="125" spans="1:14" ht="12.75">
      <c r="A125" s="367">
        <f t="shared" si="8"/>
        <v>110</v>
      </c>
      <c r="B125" s="368"/>
      <c r="C125" s="368"/>
      <c r="D125" s="379" t="s">
        <v>47</v>
      </c>
      <c r="E125" s="66" t="s">
        <v>210</v>
      </c>
      <c r="F125" s="79">
        <f>+F241+F357+F589+F473</f>
        <v>0</v>
      </c>
      <c r="G125" s="79">
        <f t="shared" si="7"/>
        <v>7.27</v>
      </c>
      <c r="H125" s="79">
        <f aca="true" t="shared" si="19" ref="H125:K126">+H241+H357+H589+H473</f>
        <v>2.79</v>
      </c>
      <c r="I125" s="79">
        <f t="shared" si="19"/>
        <v>2</v>
      </c>
      <c r="J125" s="79">
        <f t="shared" si="19"/>
        <v>2.48</v>
      </c>
      <c r="K125" s="79">
        <f t="shared" si="19"/>
        <v>0</v>
      </c>
      <c r="L125" s="21"/>
      <c r="M125" s="21"/>
      <c r="N125" s="21"/>
    </row>
    <row r="126" spans="1:14" ht="12.75">
      <c r="A126" s="367">
        <f t="shared" si="8"/>
        <v>111</v>
      </c>
      <c r="B126" s="368"/>
      <c r="C126" s="368"/>
      <c r="D126" s="379" t="s">
        <v>80</v>
      </c>
      <c r="E126" s="66" t="s">
        <v>211</v>
      </c>
      <c r="F126" s="79">
        <f>+F242+F358+F590+F474</f>
        <v>0</v>
      </c>
      <c r="G126" s="79">
        <f t="shared" si="7"/>
        <v>6.42</v>
      </c>
      <c r="H126" s="79">
        <f t="shared" si="19"/>
        <v>3.21</v>
      </c>
      <c r="I126" s="79">
        <f t="shared" si="19"/>
        <v>3.21</v>
      </c>
      <c r="J126" s="79">
        <f t="shared" si="19"/>
        <v>0</v>
      </c>
      <c r="K126" s="79">
        <f t="shared" si="19"/>
        <v>0</v>
      </c>
      <c r="L126" s="21"/>
      <c r="M126" s="21"/>
      <c r="N126" s="21"/>
    </row>
    <row r="127" spans="1:14" ht="12.75">
      <c r="A127" s="367">
        <f t="shared" si="8"/>
        <v>112</v>
      </c>
      <c r="B127" s="368"/>
      <c r="C127" s="377" t="s">
        <v>160</v>
      </c>
      <c r="D127" s="369"/>
      <c r="E127" s="59" t="s">
        <v>212</v>
      </c>
      <c r="F127" s="49">
        <f aca="true" t="shared" si="20" ref="F127:F134">+F243+F359+F475+F591</f>
        <v>0</v>
      </c>
      <c r="G127" s="50">
        <f aca="true" t="shared" si="21" ref="G127:G190">H127+I127+J127+K127</f>
        <v>143.34</v>
      </c>
      <c r="H127" s="49">
        <f aca="true" t="shared" si="22" ref="H127:K134">+H243+H359+H475+H591</f>
        <v>71.67</v>
      </c>
      <c r="I127" s="49">
        <f t="shared" si="22"/>
        <v>71.67</v>
      </c>
      <c r="J127" s="49">
        <f t="shared" si="22"/>
        <v>0</v>
      </c>
      <c r="K127" s="124">
        <f t="shared" si="22"/>
        <v>0</v>
      </c>
      <c r="L127" s="21"/>
      <c r="M127" s="21"/>
      <c r="N127" s="21"/>
    </row>
    <row r="128" spans="1:13" ht="12.75">
      <c r="A128" s="367">
        <f t="shared" si="8"/>
        <v>113</v>
      </c>
      <c r="B128" s="368"/>
      <c r="C128" s="368">
        <v>10</v>
      </c>
      <c r="D128" s="369"/>
      <c r="E128" s="59" t="s">
        <v>213</v>
      </c>
      <c r="F128" s="49">
        <f t="shared" si="20"/>
        <v>0</v>
      </c>
      <c r="G128" s="50">
        <f t="shared" si="21"/>
        <v>0</v>
      </c>
      <c r="H128" s="49">
        <f t="shared" si="22"/>
        <v>0</v>
      </c>
      <c r="I128" s="49">
        <f t="shared" si="22"/>
        <v>0</v>
      </c>
      <c r="J128" s="49">
        <f t="shared" si="22"/>
        <v>0</v>
      </c>
      <c r="K128" s="124">
        <f t="shared" si="22"/>
        <v>0</v>
      </c>
      <c r="L128" s="21"/>
      <c r="M128" s="21"/>
    </row>
    <row r="129" spans="1:14" ht="12.75">
      <c r="A129" s="367">
        <f aca="true" t="shared" si="23" ref="A129:A164">A128+1</f>
        <v>114</v>
      </c>
      <c r="B129" s="368"/>
      <c r="C129" s="368">
        <v>11</v>
      </c>
      <c r="D129" s="369"/>
      <c r="E129" s="59" t="s">
        <v>214</v>
      </c>
      <c r="F129" s="49">
        <f t="shared" si="20"/>
        <v>0</v>
      </c>
      <c r="G129" s="50">
        <f t="shared" si="21"/>
        <v>2.22</v>
      </c>
      <c r="H129" s="49">
        <f t="shared" si="22"/>
        <v>1.11</v>
      </c>
      <c r="I129" s="49">
        <f t="shared" si="22"/>
        <v>1.11</v>
      </c>
      <c r="J129" s="49">
        <f t="shared" si="22"/>
        <v>0</v>
      </c>
      <c r="K129" s="124">
        <f t="shared" si="22"/>
        <v>0</v>
      </c>
      <c r="L129" s="21"/>
      <c r="M129" s="21"/>
      <c r="N129" s="21"/>
    </row>
    <row r="130" spans="1:13" ht="12.75">
      <c r="A130" s="367">
        <f t="shared" si="23"/>
        <v>115</v>
      </c>
      <c r="B130" s="368"/>
      <c r="C130" s="368">
        <v>12</v>
      </c>
      <c r="D130" s="369"/>
      <c r="E130" s="59" t="s">
        <v>215</v>
      </c>
      <c r="F130" s="49">
        <f t="shared" si="20"/>
        <v>0</v>
      </c>
      <c r="G130" s="50">
        <f t="shared" si="21"/>
        <v>0</v>
      </c>
      <c r="H130" s="49">
        <f t="shared" si="22"/>
        <v>0</v>
      </c>
      <c r="I130" s="49">
        <f t="shared" si="22"/>
        <v>0</v>
      </c>
      <c r="J130" s="49">
        <f t="shared" si="22"/>
        <v>0</v>
      </c>
      <c r="K130" s="124">
        <f t="shared" si="22"/>
        <v>0</v>
      </c>
      <c r="L130" s="21"/>
      <c r="M130" s="21"/>
    </row>
    <row r="131" spans="1:13" ht="12.75">
      <c r="A131" s="367">
        <f t="shared" si="23"/>
        <v>116</v>
      </c>
      <c r="B131" s="368"/>
      <c r="C131" s="368">
        <v>13</v>
      </c>
      <c r="D131" s="369"/>
      <c r="E131" s="59" t="s">
        <v>216</v>
      </c>
      <c r="F131" s="49">
        <f t="shared" si="20"/>
        <v>0</v>
      </c>
      <c r="G131" s="50">
        <f t="shared" si="21"/>
        <v>11</v>
      </c>
      <c r="H131" s="49">
        <f t="shared" si="22"/>
        <v>0</v>
      </c>
      <c r="I131" s="49">
        <f t="shared" si="22"/>
        <v>8</v>
      </c>
      <c r="J131" s="49">
        <f t="shared" si="22"/>
        <v>3</v>
      </c>
      <c r="K131" s="124">
        <f t="shared" si="22"/>
        <v>0</v>
      </c>
      <c r="L131" s="21"/>
      <c r="M131" s="21"/>
    </row>
    <row r="132" spans="1:13" ht="12.75">
      <c r="A132" s="367">
        <f t="shared" si="23"/>
        <v>117</v>
      </c>
      <c r="B132" s="368"/>
      <c r="C132" s="368">
        <v>14</v>
      </c>
      <c r="D132" s="369"/>
      <c r="E132" s="59" t="s">
        <v>217</v>
      </c>
      <c r="F132" s="49">
        <f t="shared" si="20"/>
        <v>0</v>
      </c>
      <c r="G132" s="50">
        <f t="shared" si="21"/>
        <v>0</v>
      </c>
      <c r="H132" s="49">
        <f t="shared" si="22"/>
        <v>0</v>
      </c>
      <c r="I132" s="49">
        <f t="shared" si="22"/>
        <v>0</v>
      </c>
      <c r="J132" s="49">
        <f t="shared" si="22"/>
        <v>0</v>
      </c>
      <c r="K132" s="124">
        <f t="shared" si="22"/>
        <v>0</v>
      </c>
      <c r="L132" s="21"/>
      <c r="M132" s="21"/>
    </row>
    <row r="133" spans="1:13" ht="12.75">
      <c r="A133" s="367">
        <f t="shared" si="23"/>
        <v>118</v>
      </c>
      <c r="B133" s="368"/>
      <c r="C133" s="368">
        <v>25</v>
      </c>
      <c r="D133" s="369"/>
      <c r="E133" s="59" t="s">
        <v>218</v>
      </c>
      <c r="F133" s="49">
        <f t="shared" si="20"/>
        <v>0</v>
      </c>
      <c r="G133" s="50">
        <f t="shared" si="21"/>
        <v>0</v>
      </c>
      <c r="H133" s="49">
        <f t="shared" si="22"/>
        <v>0</v>
      </c>
      <c r="I133" s="49">
        <f t="shared" si="22"/>
        <v>0</v>
      </c>
      <c r="J133" s="49">
        <f t="shared" si="22"/>
        <v>0</v>
      </c>
      <c r="K133" s="124">
        <f t="shared" si="22"/>
        <v>0</v>
      </c>
      <c r="L133" s="21"/>
      <c r="M133" s="21"/>
    </row>
    <row r="134" spans="1:13" ht="12.75">
      <c r="A134" s="367">
        <f t="shared" si="23"/>
        <v>119</v>
      </c>
      <c r="B134" s="368"/>
      <c r="C134" s="368">
        <v>27</v>
      </c>
      <c r="D134" s="369"/>
      <c r="E134" s="59" t="s">
        <v>219</v>
      </c>
      <c r="F134" s="49">
        <f t="shared" si="20"/>
        <v>0</v>
      </c>
      <c r="G134" s="50">
        <f t="shared" si="21"/>
        <v>0</v>
      </c>
      <c r="H134" s="49">
        <f t="shared" si="22"/>
        <v>0</v>
      </c>
      <c r="I134" s="49">
        <f t="shared" si="22"/>
        <v>0</v>
      </c>
      <c r="J134" s="49">
        <f t="shared" si="22"/>
        <v>0</v>
      </c>
      <c r="K134" s="49">
        <f t="shared" si="22"/>
        <v>0</v>
      </c>
      <c r="L134" s="21"/>
      <c r="M134" s="21"/>
    </row>
    <row r="135" spans="1:14" ht="12.75">
      <c r="A135" s="367">
        <f t="shared" si="23"/>
        <v>120</v>
      </c>
      <c r="B135" s="368"/>
      <c r="C135" s="368">
        <v>30</v>
      </c>
      <c r="D135" s="369"/>
      <c r="E135" s="59" t="s">
        <v>120</v>
      </c>
      <c r="F135" s="49">
        <f>F136+F137+F138+F139+F140</f>
        <v>0</v>
      </c>
      <c r="G135" s="50">
        <f t="shared" si="21"/>
        <v>68.58</v>
      </c>
      <c r="H135" s="49">
        <f>H136+H137+H138+H139+H140</f>
        <v>14.92</v>
      </c>
      <c r="I135" s="49">
        <f>I136+I137+I138+I139+I140</f>
        <v>33.66</v>
      </c>
      <c r="J135" s="49">
        <f>J136+J137+J138+J139+J140</f>
        <v>20</v>
      </c>
      <c r="K135" s="49">
        <f>K136+K137+K138+K139+K140</f>
        <v>0</v>
      </c>
      <c r="L135" s="21"/>
      <c r="M135" s="21"/>
      <c r="N135" s="21"/>
    </row>
    <row r="136" spans="1:13" ht="12.75">
      <c r="A136" s="367">
        <f t="shared" si="23"/>
        <v>121</v>
      </c>
      <c r="B136" s="368"/>
      <c r="C136" s="368"/>
      <c r="D136" s="379" t="s">
        <v>47</v>
      </c>
      <c r="E136" s="66" t="s">
        <v>220</v>
      </c>
      <c r="F136" s="79">
        <f aca="true" t="shared" si="24" ref="F136:F141">+F252+F368+F484+F600</f>
        <v>0</v>
      </c>
      <c r="G136" s="79">
        <f t="shared" si="21"/>
        <v>0</v>
      </c>
      <c r="H136" s="79">
        <f aca="true" t="shared" si="25" ref="H136:K141">+H252+H368+H484+H600</f>
        <v>0</v>
      </c>
      <c r="I136" s="79">
        <f t="shared" si="25"/>
        <v>0</v>
      </c>
      <c r="J136" s="79">
        <f t="shared" si="25"/>
        <v>0</v>
      </c>
      <c r="K136" s="393">
        <f t="shared" si="25"/>
        <v>0</v>
      </c>
      <c r="L136" s="21"/>
      <c r="M136" s="21"/>
    </row>
    <row r="137" spans="1:14" ht="12.75">
      <c r="A137" s="367">
        <f t="shared" si="23"/>
        <v>122</v>
      </c>
      <c r="B137" s="368"/>
      <c r="C137" s="368"/>
      <c r="D137" s="379" t="s">
        <v>84</v>
      </c>
      <c r="E137" s="66" t="s">
        <v>221</v>
      </c>
      <c r="F137" s="79">
        <f t="shared" si="24"/>
        <v>0</v>
      </c>
      <c r="G137" s="79">
        <f t="shared" si="21"/>
        <v>0</v>
      </c>
      <c r="H137" s="79">
        <f t="shared" si="25"/>
        <v>0</v>
      </c>
      <c r="I137" s="79">
        <f t="shared" si="25"/>
        <v>0</v>
      </c>
      <c r="J137" s="79">
        <f t="shared" si="25"/>
        <v>0</v>
      </c>
      <c r="K137" s="393">
        <f t="shared" si="25"/>
        <v>0</v>
      </c>
      <c r="L137" s="21"/>
      <c r="M137" s="21"/>
      <c r="N137" s="21"/>
    </row>
    <row r="138" spans="1:13" ht="12.75">
      <c r="A138" s="367">
        <f t="shared" si="23"/>
        <v>123</v>
      </c>
      <c r="B138" s="368"/>
      <c r="C138" s="368"/>
      <c r="D138" s="379" t="s">
        <v>108</v>
      </c>
      <c r="E138" s="66" t="s">
        <v>222</v>
      </c>
      <c r="F138" s="79">
        <f t="shared" si="24"/>
        <v>0</v>
      </c>
      <c r="G138" s="79">
        <f t="shared" si="21"/>
        <v>65.25999999999999</v>
      </c>
      <c r="H138" s="79">
        <f t="shared" si="25"/>
        <v>13.26</v>
      </c>
      <c r="I138" s="79">
        <f t="shared" si="25"/>
        <v>32</v>
      </c>
      <c r="J138" s="79">
        <f t="shared" si="25"/>
        <v>20</v>
      </c>
      <c r="K138" s="393">
        <f t="shared" si="25"/>
        <v>0</v>
      </c>
      <c r="L138" s="21"/>
      <c r="M138" s="21"/>
    </row>
    <row r="139" spans="1:13" ht="12.75">
      <c r="A139" s="367">
        <f t="shared" si="23"/>
        <v>124</v>
      </c>
      <c r="B139" s="368"/>
      <c r="C139" s="368"/>
      <c r="D139" s="379" t="s">
        <v>160</v>
      </c>
      <c r="E139" s="66" t="s">
        <v>223</v>
      </c>
      <c r="F139" s="79">
        <f t="shared" si="24"/>
        <v>0</v>
      </c>
      <c r="G139" s="79">
        <f t="shared" si="21"/>
        <v>0</v>
      </c>
      <c r="H139" s="79">
        <f t="shared" si="25"/>
        <v>0</v>
      </c>
      <c r="I139" s="79">
        <f t="shared" si="25"/>
        <v>0</v>
      </c>
      <c r="J139" s="79">
        <f t="shared" si="25"/>
        <v>0</v>
      </c>
      <c r="K139" s="393">
        <f t="shared" si="25"/>
        <v>0</v>
      </c>
      <c r="L139" s="21"/>
      <c r="M139" s="21"/>
    </row>
    <row r="140" spans="1:13" ht="12.75">
      <c r="A140" s="367">
        <f t="shared" si="23"/>
        <v>125</v>
      </c>
      <c r="B140" s="368"/>
      <c r="C140" s="368"/>
      <c r="D140" s="369">
        <v>30</v>
      </c>
      <c r="E140" s="66" t="s">
        <v>224</v>
      </c>
      <c r="F140" s="79">
        <f t="shared" si="24"/>
        <v>0</v>
      </c>
      <c r="G140" s="79">
        <f>H140+I140+J140+K140</f>
        <v>3.32</v>
      </c>
      <c r="H140" s="79">
        <f t="shared" si="25"/>
        <v>1.66</v>
      </c>
      <c r="I140" s="79">
        <f t="shared" si="25"/>
        <v>1.66</v>
      </c>
      <c r="J140" s="79">
        <f t="shared" si="25"/>
        <v>0</v>
      </c>
      <c r="K140" s="393">
        <f t="shared" si="25"/>
        <v>0</v>
      </c>
      <c r="L140" s="21"/>
      <c r="M140" s="21"/>
    </row>
    <row r="141" spans="1:13" ht="12.75">
      <c r="A141" s="367">
        <f t="shared" si="23"/>
        <v>126</v>
      </c>
      <c r="B141" s="395">
        <v>30</v>
      </c>
      <c r="C141" s="395"/>
      <c r="D141" s="396"/>
      <c r="E141" s="418" t="s">
        <v>225</v>
      </c>
      <c r="F141" s="452">
        <f t="shared" si="24"/>
        <v>0</v>
      </c>
      <c r="G141" s="399">
        <f t="shared" si="21"/>
        <v>0</v>
      </c>
      <c r="H141" s="452">
        <f t="shared" si="25"/>
        <v>0</v>
      </c>
      <c r="I141" s="452">
        <f t="shared" si="25"/>
        <v>0</v>
      </c>
      <c r="J141" s="452">
        <f t="shared" si="25"/>
        <v>0</v>
      </c>
      <c r="K141" s="476">
        <f t="shared" si="25"/>
        <v>0</v>
      </c>
      <c r="L141" s="21"/>
      <c r="M141" s="21"/>
    </row>
    <row r="142" spans="1:13" ht="12.75">
      <c r="A142" s="367">
        <f t="shared" si="23"/>
        <v>127</v>
      </c>
      <c r="B142" s="395"/>
      <c r="C142" s="401" t="s">
        <v>84</v>
      </c>
      <c r="D142" s="396"/>
      <c r="E142" s="418" t="s">
        <v>226</v>
      </c>
      <c r="F142" s="452">
        <f>+F257+F373+F489+F606</f>
        <v>0</v>
      </c>
      <c r="G142" s="399">
        <f t="shared" si="21"/>
        <v>0</v>
      </c>
      <c r="H142" s="452">
        <f>+H257+H373+H489+H606</f>
        <v>0</v>
      </c>
      <c r="I142" s="452">
        <f>+I257+I373+I489+I606</f>
        <v>0</v>
      </c>
      <c r="J142" s="452">
        <f>+J257+J373+J489+J606</f>
        <v>0</v>
      </c>
      <c r="K142" s="476">
        <f>+K257+K373+K489+K606</f>
        <v>0</v>
      </c>
      <c r="L142" s="21"/>
      <c r="M142" s="21"/>
    </row>
    <row r="143" spans="1:13" ht="12.75">
      <c r="A143" s="367">
        <f t="shared" si="23"/>
        <v>128</v>
      </c>
      <c r="B143" s="395"/>
      <c r="C143" s="401"/>
      <c r="D143" s="402" t="s">
        <v>41</v>
      </c>
      <c r="E143" s="419" t="s">
        <v>227</v>
      </c>
      <c r="F143" s="452">
        <f>+F259+F375+F491+F607</f>
        <v>0</v>
      </c>
      <c r="G143" s="399">
        <f t="shared" si="21"/>
        <v>0</v>
      </c>
      <c r="H143" s="452">
        <f>+H259+H375+H491+H607</f>
        <v>0</v>
      </c>
      <c r="I143" s="452">
        <f>+I259+I375+I491+I607</f>
        <v>0</v>
      </c>
      <c r="J143" s="452">
        <f>+J259+J375+J491+J607</f>
        <v>0</v>
      </c>
      <c r="K143" s="452">
        <f>+K259+K375+K491+K607</f>
        <v>0</v>
      </c>
      <c r="L143" s="21"/>
      <c r="M143" s="21"/>
    </row>
    <row r="144" spans="1:13" ht="30.75" customHeight="1">
      <c r="A144" s="367">
        <f t="shared" si="23"/>
        <v>129</v>
      </c>
      <c r="B144" s="404" t="s">
        <v>228</v>
      </c>
      <c r="C144" s="401"/>
      <c r="D144" s="402"/>
      <c r="E144" s="413" t="s">
        <v>229</v>
      </c>
      <c r="F144" s="452">
        <f>+F260+F376+F492</f>
        <v>0</v>
      </c>
      <c r="G144" s="399">
        <f t="shared" si="21"/>
        <v>2683.47</v>
      </c>
      <c r="H144" s="452">
        <f>+H260+H376+H492</f>
        <v>2683.47</v>
      </c>
      <c r="I144" s="452">
        <f>+I260+I376+I492</f>
        <v>0</v>
      </c>
      <c r="J144" s="452">
        <f>+J260+J376+J492</f>
        <v>0</v>
      </c>
      <c r="K144" s="452">
        <f>+K260+K376+K492</f>
        <v>0</v>
      </c>
      <c r="L144" s="21"/>
      <c r="M144" s="21"/>
    </row>
    <row r="145" spans="1:13" ht="12.75">
      <c r="A145" s="367">
        <f t="shared" si="23"/>
        <v>130</v>
      </c>
      <c r="B145" s="395">
        <v>57</v>
      </c>
      <c r="C145" s="401"/>
      <c r="D145" s="402"/>
      <c r="E145" s="418" t="s">
        <v>230</v>
      </c>
      <c r="F145" s="399">
        <f aca="true" t="shared" si="26" ref="F145:K146">F146</f>
        <v>0</v>
      </c>
      <c r="G145" s="399">
        <f t="shared" si="21"/>
        <v>0</v>
      </c>
      <c r="H145" s="399">
        <f t="shared" si="26"/>
        <v>0</v>
      </c>
      <c r="I145" s="399">
        <f t="shared" si="26"/>
        <v>0</v>
      </c>
      <c r="J145" s="399">
        <f t="shared" si="26"/>
        <v>0</v>
      </c>
      <c r="K145" s="399">
        <f t="shared" si="26"/>
        <v>0</v>
      </c>
      <c r="L145" s="21"/>
      <c r="M145" s="21"/>
    </row>
    <row r="146" spans="1:13" ht="12.75">
      <c r="A146" s="367">
        <f t="shared" si="23"/>
        <v>131</v>
      </c>
      <c r="B146" s="395"/>
      <c r="C146" s="401" t="s">
        <v>47</v>
      </c>
      <c r="D146" s="402"/>
      <c r="E146" s="418" t="s">
        <v>231</v>
      </c>
      <c r="F146" s="399">
        <f t="shared" si="26"/>
        <v>0</v>
      </c>
      <c r="G146" s="399">
        <f t="shared" si="21"/>
        <v>0</v>
      </c>
      <c r="H146" s="399">
        <f t="shared" si="26"/>
        <v>0</v>
      </c>
      <c r="I146" s="399">
        <f t="shared" si="26"/>
        <v>0</v>
      </c>
      <c r="J146" s="399">
        <f t="shared" si="26"/>
        <v>0</v>
      </c>
      <c r="K146" s="399">
        <f t="shared" si="26"/>
        <v>0</v>
      </c>
      <c r="L146" s="21"/>
      <c r="M146" s="21"/>
    </row>
    <row r="147" spans="1:12" ht="12.75">
      <c r="A147" s="367">
        <f t="shared" si="23"/>
        <v>132</v>
      </c>
      <c r="B147" s="395"/>
      <c r="C147" s="401" t="s">
        <v>80</v>
      </c>
      <c r="D147" s="402"/>
      <c r="E147" s="419" t="s">
        <v>232</v>
      </c>
      <c r="F147" s="399">
        <f>F148+F149+F150+F151</f>
        <v>0</v>
      </c>
      <c r="G147" s="399">
        <f t="shared" si="21"/>
        <v>0</v>
      </c>
      <c r="H147" s="399">
        <f>H148+H149+H150+H151</f>
        <v>0</v>
      </c>
      <c r="I147" s="399">
        <f>I148+I149+I150+I151</f>
        <v>0</v>
      </c>
      <c r="J147" s="399">
        <f>J148+J149+J150+J151</f>
        <v>0</v>
      </c>
      <c r="K147" s="399">
        <f>K148+K149+K150+K151</f>
        <v>0</v>
      </c>
      <c r="L147" s="21"/>
    </row>
    <row r="148" spans="1:12" ht="12.75">
      <c r="A148" s="367">
        <f t="shared" si="23"/>
        <v>133</v>
      </c>
      <c r="B148" s="395"/>
      <c r="C148" s="401"/>
      <c r="D148" s="402" t="s">
        <v>47</v>
      </c>
      <c r="E148" s="419" t="s">
        <v>233</v>
      </c>
      <c r="F148" s="455">
        <f>+F264+F380+F496+F611</f>
        <v>0</v>
      </c>
      <c r="G148" s="399">
        <f t="shared" si="21"/>
        <v>0</v>
      </c>
      <c r="H148" s="455">
        <f aca="true" t="shared" si="27" ref="H148:K151">+H264+H380+H496+H611</f>
        <v>0</v>
      </c>
      <c r="I148" s="455">
        <f t="shared" si="27"/>
        <v>0</v>
      </c>
      <c r="J148" s="455">
        <f t="shared" si="27"/>
        <v>0</v>
      </c>
      <c r="K148" s="455">
        <f t="shared" si="27"/>
        <v>0</v>
      </c>
      <c r="L148" s="21"/>
    </row>
    <row r="149" spans="1:12" ht="12.75">
      <c r="A149" s="367">
        <f t="shared" si="23"/>
        <v>134</v>
      </c>
      <c r="B149" s="395"/>
      <c r="C149" s="401"/>
      <c r="D149" s="402" t="s">
        <v>80</v>
      </c>
      <c r="E149" s="419" t="s">
        <v>234</v>
      </c>
      <c r="F149" s="455">
        <f>+F265+F381+F497+F612</f>
        <v>0</v>
      </c>
      <c r="G149" s="399">
        <f t="shared" si="21"/>
        <v>0</v>
      </c>
      <c r="H149" s="455">
        <f t="shared" si="27"/>
        <v>0</v>
      </c>
      <c r="I149" s="455">
        <f t="shared" si="27"/>
        <v>0</v>
      </c>
      <c r="J149" s="455">
        <f t="shared" si="27"/>
        <v>0</v>
      </c>
      <c r="K149" s="455">
        <f t="shared" si="27"/>
        <v>0</v>
      </c>
      <c r="L149" s="21"/>
    </row>
    <row r="150" spans="1:12" ht="12.75">
      <c r="A150" s="367">
        <f t="shared" si="23"/>
        <v>135</v>
      </c>
      <c r="B150" s="395"/>
      <c r="C150" s="401"/>
      <c r="D150" s="402" t="s">
        <v>84</v>
      </c>
      <c r="E150" s="419" t="s">
        <v>235</v>
      </c>
      <c r="F150" s="455">
        <f>+F266+F382+F498+F613</f>
        <v>0</v>
      </c>
      <c r="G150" s="399">
        <f t="shared" si="21"/>
        <v>0</v>
      </c>
      <c r="H150" s="455">
        <f t="shared" si="27"/>
        <v>0</v>
      </c>
      <c r="I150" s="455">
        <f t="shared" si="27"/>
        <v>0</v>
      </c>
      <c r="J150" s="455">
        <f t="shared" si="27"/>
        <v>0</v>
      </c>
      <c r="K150" s="455">
        <f t="shared" si="27"/>
        <v>0</v>
      </c>
      <c r="L150" s="21"/>
    </row>
    <row r="151" spans="1:12" ht="12.75">
      <c r="A151" s="367">
        <f t="shared" si="23"/>
        <v>136</v>
      </c>
      <c r="B151" s="395"/>
      <c r="C151" s="401"/>
      <c r="D151" s="402" t="s">
        <v>108</v>
      </c>
      <c r="E151" s="419" t="s">
        <v>236</v>
      </c>
      <c r="F151" s="455">
        <f>+F267+F383+F499+F614</f>
        <v>0</v>
      </c>
      <c r="G151" s="399">
        <f t="shared" si="21"/>
        <v>0</v>
      </c>
      <c r="H151" s="455">
        <f t="shared" si="27"/>
        <v>0</v>
      </c>
      <c r="I151" s="455">
        <f t="shared" si="27"/>
        <v>0</v>
      </c>
      <c r="J151" s="455">
        <f t="shared" si="27"/>
        <v>0</v>
      </c>
      <c r="K151" s="455">
        <f t="shared" si="27"/>
        <v>0</v>
      </c>
      <c r="L151" s="21"/>
    </row>
    <row r="152" spans="1:18" ht="12.75">
      <c r="A152" s="367">
        <f t="shared" si="23"/>
        <v>137</v>
      </c>
      <c r="B152" s="368">
        <v>70</v>
      </c>
      <c r="C152" s="368"/>
      <c r="D152" s="369"/>
      <c r="E152" s="85" t="s">
        <v>237</v>
      </c>
      <c r="F152" s="50">
        <f>F153</f>
        <v>0</v>
      </c>
      <c r="G152" s="50">
        <f t="shared" si="21"/>
        <v>12976.920000000002</v>
      </c>
      <c r="H152" s="50">
        <f>H153</f>
        <v>3129.77</v>
      </c>
      <c r="I152" s="50">
        <f>I153</f>
        <v>9847.150000000001</v>
      </c>
      <c r="J152" s="50">
        <f>J153</f>
        <v>0</v>
      </c>
      <c r="K152" s="50">
        <f>K153</f>
        <v>0</v>
      </c>
      <c r="L152" s="21"/>
      <c r="M152" s="51"/>
      <c r="N152" s="21"/>
      <c r="O152" s="21"/>
      <c r="P152" s="21"/>
      <c r="Q152" s="21"/>
      <c r="R152" s="21"/>
    </row>
    <row r="153" spans="1:12" ht="12.75">
      <c r="A153" s="367">
        <f t="shared" si="23"/>
        <v>138</v>
      </c>
      <c r="B153" s="368">
        <v>71</v>
      </c>
      <c r="C153" s="406"/>
      <c r="D153" s="369"/>
      <c r="E153" s="85" t="s">
        <v>238</v>
      </c>
      <c r="F153" s="50">
        <f>F154+F159</f>
        <v>0</v>
      </c>
      <c r="G153" s="50">
        <f t="shared" si="21"/>
        <v>12976.920000000002</v>
      </c>
      <c r="H153" s="50">
        <f>H154+H159</f>
        <v>3129.77</v>
      </c>
      <c r="I153" s="50">
        <f>I154+I159</f>
        <v>9847.150000000001</v>
      </c>
      <c r="J153" s="50">
        <f>J154+J159</f>
        <v>0</v>
      </c>
      <c r="K153" s="50">
        <f>K154+K159</f>
        <v>0</v>
      </c>
      <c r="L153" s="21"/>
    </row>
    <row r="154" spans="1:12" ht="12.75">
      <c r="A154" s="367">
        <f t="shared" si="23"/>
        <v>139</v>
      </c>
      <c r="B154" s="368"/>
      <c r="C154" s="377" t="s">
        <v>47</v>
      </c>
      <c r="D154" s="369"/>
      <c r="E154" s="85" t="s">
        <v>77</v>
      </c>
      <c r="F154" s="50">
        <f>F155+F156+F157+F158</f>
        <v>0</v>
      </c>
      <c r="G154" s="50">
        <f t="shared" si="21"/>
        <v>10341.220000000001</v>
      </c>
      <c r="H154" s="50">
        <f>H155+H156+H157+H158</f>
        <v>1795.77</v>
      </c>
      <c r="I154" s="50">
        <f>I155+I156+I157+I158</f>
        <v>8545.45</v>
      </c>
      <c r="J154" s="50">
        <f>J155+J156+J157+J158</f>
        <v>0</v>
      </c>
      <c r="K154" s="50">
        <f>K155+K156+K157+K158</f>
        <v>0</v>
      </c>
      <c r="L154" s="21"/>
    </row>
    <row r="155" spans="1:12" ht="12.75">
      <c r="A155" s="367">
        <f t="shared" si="23"/>
        <v>140</v>
      </c>
      <c r="B155" s="368"/>
      <c r="C155" s="368"/>
      <c r="D155" s="379" t="s">
        <v>47</v>
      </c>
      <c r="E155" s="66" t="s">
        <v>239</v>
      </c>
      <c r="F155" s="79">
        <f>+F271+F387+F503+F618</f>
        <v>0</v>
      </c>
      <c r="G155" s="50">
        <f t="shared" si="21"/>
        <v>0</v>
      </c>
      <c r="H155" s="79">
        <f aca="true" t="shared" si="28" ref="H155:K159">+H271+H387+H503+H618</f>
        <v>0</v>
      </c>
      <c r="I155" s="79">
        <f t="shared" si="28"/>
        <v>0</v>
      </c>
      <c r="J155" s="79">
        <f t="shared" si="28"/>
        <v>0</v>
      </c>
      <c r="K155" s="79">
        <f t="shared" si="28"/>
        <v>0</v>
      </c>
      <c r="L155" s="21"/>
    </row>
    <row r="156" spans="1:12" ht="12.75">
      <c r="A156" s="367">
        <f t="shared" si="23"/>
        <v>141</v>
      </c>
      <c r="B156" s="368"/>
      <c r="C156" s="368"/>
      <c r="D156" s="379" t="s">
        <v>80</v>
      </c>
      <c r="E156" s="66" t="s">
        <v>240</v>
      </c>
      <c r="F156" s="79">
        <f>+F272+F388+F504+F619</f>
        <v>0</v>
      </c>
      <c r="G156" s="50">
        <f t="shared" si="21"/>
        <v>9955.220000000001</v>
      </c>
      <c r="H156" s="79">
        <f t="shared" si="28"/>
        <v>1409.77</v>
      </c>
      <c r="I156" s="79">
        <f t="shared" si="28"/>
        <v>8545.45</v>
      </c>
      <c r="J156" s="79">
        <f t="shared" si="28"/>
        <v>0</v>
      </c>
      <c r="K156" s="79">
        <f t="shared" si="28"/>
        <v>0</v>
      </c>
      <c r="L156" s="21"/>
    </row>
    <row r="157" spans="1:12" ht="12.75">
      <c r="A157" s="367">
        <f t="shared" si="23"/>
        <v>142</v>
      </c>
      <c r="B157" s="368"/>
      <c r="C157" s="368"/>
      <c r="D157" s="379" t="s">
        <v>84</v>
      </c>
      <c r="E157" s="66" t="s">
        <v>241</v>
      </c>
      <c r="F157" s="79">
        <f>+F273+F389+F505+F620</f>
        <v>0</v>
      </c>
      <c r="G157" s="50">
        <f t="shared" si="21"/>
        <v>386</v>
      </c>
      <c r="H157" s="79">
        <f t="shared" si="28"/>
        <v>386</v>
      </c>
      <c r="I157" s="79">
        <f t="shared" si="28"/>
        <v>0</v>
      </c>
      <c r="J157" s="79">
        <f t="shared" si="28"/>
        <v>0</v>
      </c>
      <c r="K157" s="79">
        <f t="shared" si="28"/>
        <v>0</v>
      </c>
      <c r="L157" s="21"/>
    </row>
    <row r="158" spans="1:12" ht="12.75">
      <c r="A158" s="367">
        <f t="shared" si="23"/>
        <v>143</v>
      </c>
      <c r="B158" s="368"/>
      <c r="C158" s="368"/>
      <c r="D158" s="369">
        <v>30</v>
      </c>
      <c r="E158" s="66" t="s">
        <v>242</v>
      </c>
      <c r="F158" s="79">
        <f>+F274+F390+F506+F621</f>
        <v>0</v>
      </c>
      <c r="G158" s="50">
        <f t="shared" si="21"/>
        <v>0</v>
      </c>
      <c r="H158" s="79">
        <f t="shared" si="28"/>
        <v>0</v>
      </c>
      <c r="I158" s="79">
        <f t="shared" si="28"/>
        <v>0</v>
      </c>
      <c r="J158" s="79">
        <f t="shared" si="28"/>
        <v>0</v>
      </c>
      <c r="K158" s="79">
        <f t="shared" si="28"/>
        <v>0</v>
      </c>
      <c r="L158" s="21"/>
    </row>
    <row r="159" spans="1:12" ht="12.75">
      <c r="A159" s="367">
        <f t="shared" si="23"/>
        <v>144</v>
      </c>
      <c r="B159" s="368">
        <v>71</v>
      </c>
      <c r="C159" s="377" t="s">
        <v>84</v>
      </c>
      <c r="D159" s="369"/>
      <c r="E159" s="66" t="s">
        <v>243</v>
      </c>
      <c r="F159" s="79">
        <f>+F275+F391+F507+F622</f>
        <v>0</v>
      </c>
      <c r="G159" s="50">
        <f t="shared" si="21"/>
        <v>2635.7</v>
      </c>
      <c r="H159" s="79">
        <f t="shared" si="28"/>
        <v>1334</v>
      </c>
      <c r="I159" s="79">
        <f t="shared" si="28"/>
        <v>1301.6999999999998</v>
      </c>
      <c r="J159" s="79">
        <f t="shared" si="28"/>
        <v>0</v>
      </c>
      <c r="K159" s="79">
        <f t="shared" si="28"/>
        <v>0</v>
      </c>
      <c r="L159" s="21"/>
    </row>
    <row r="160" spans="1:12" ht="12.75">
      <c r="A160" s="367">
        <f t="shared" si="23"/>
        <v>145</v>
      </c>
      <c r="B160" s="368"/>
      <c r="C160" s="368"/>
      <c r="D160" s="369"/>
      <c r="E160" s="85" t="s">
        <v>244</v>
      </c>
      <c r="F160" s="49">
        <f>F161+F162+F163</f>
        <v>0</v>
      </c>
      <c r="G160" s="50">
        <f t="shared" si="21"/>
        <v>225.45</v>
      </c>
      <c r="H160" s="49">
        <f>H161+H162+H163</f>
        <v>60</v>
      </c>
      <c r="I160" s="49">
        <f>I161+I162+I163</f>
        <v>165.45</v>
      </c>
      <c r="J160" s="49">
        <f>J161+J162+J163</f>
        <v>0</v>
      </c>
      <c r="K160" s="49">
        <f>K161+K162+K163</f>
        <v>0</v>
      </c>
      <c r="L160" s="21"/>
    </row>
    <row r="161" spans="1:12" ht="12.75">
      <c r="A161" s="367">
        <f t="shared" si="23"/>
        <v>146</v>
      </c>
      <c r="B161" s="368">
        <v>71</v>
      </c>
      <c r="C161" s="377" t="s">
        <v>47</v>
      </c>
      <c r="D161" s="379" t="s">
        <v>80</v>
      </c>
      <c r="E161" s="66" t="s">
        <v>81</v>
      </c>
      <c r="F161" s="79">
        <f>+F277+F393+F509+F624</f>
        <v>0</v>
      </c>
      <c r="G161" s="50">
        <f t="shared" si="21"/>
        <v>225.45</v>
      </c>
      <c r="H161" s="79">
        <f aca="true" t="shared" si="29" ref="H161:K163">+H277+H393+H509+H624</f>
        <v>60</v>
      </c>
      <c r="I161" s="79">
        <f t="shared" si="29"/>
        <v>165.45</v>
      </c>
      <c r="J161" s="79">
        <f t="shared" si="29"/>
        <v>0</v>
      </c>
      <c r="K161" s="79">
        <f t="shared" si="29"/>
        <v>0</v>
      </c>
      <c r="L161" s="21"/>
    </row>
    <row r="162" spans="1:12" ht="12.75">
      <c r="A162" s="367">
        <f t="shared" si="23"/>
        <v>147</v>
      </c>
      <c r="B162" s="368"/>
      <c r="C162" s="368"/>
      <c r="D162" s="379" t="s">
        <v>84</v>
      </c>
      <c r="E162" s="66" t="s">
        <v>245</v>
      </c>
      <c r="F162" s="79">
        <f>+F278+F394+F510+F625</f>
        <v>0</v>
      </c>
      <c r="G162" s="50">
        <f t="shared" si="21"/>
        <v>0</v>
      </c>
      <c r="H162" s="79">
        <f t="shared" si="29"/>
        <v>0</v>
      </c>
      <c r="I162" s="79">
        <f t="shared" si="29"/>
        <v>0</v>
      </c>
      <c r="J162" s="79">
        <f t="shared" si="29"/>
        <v>0</v>
      </c>
      <c r="K162" s="79">
        <f t="shared" si="29"/>
        <v>0</v>
      </c>
      <c r="L162" s="21"/>
    </row>
    <row r="163" spans="1:12" ht="12.75">
      <c r="A163" s="367">
        <f t="shared" si="23"/>
        <v>148</v>
      </c>
      <c r="B163" s="368"/>
      <c r="C163" s="368"/>
      <c r="D163" s="369">
        <v>30</v>
      </c>
      <c r="E163" s="97" t="s">
        <v>242</v>
      </c>
      <c r="F163" s="79">
        <f>+F279+F395+F511+F626</f>
        <v>0</v>
      </c>
      <c r="G163" s="50">
        <f t="shared" si="21"/>
        <v>0</v>
      </c>
      <c r="H163" s="79">
        <f t="shared" si="29"/>
        <v>0</v>
      </c>
      <c r="I163" s="79">
        <f t="shared" si="29"/>
        <v>0</v>
      </c>
      <c r="J163" s="79">
        <f t="shared" si="29"/>
        <v>0</v>
      </c>
      <c r="K163" s="79">
        <f t="shared" si="29"/>
        <v>0</v>
      </c>
      <c r="L163" s="21"/>
    </row>
    <row r="164" spans="1:12" ht="12.75">
      <c r="A164" s="367">
        <f t="shared" si="23"/>
        <v>149</v>
      </c>
      <c r="B164" s="368"/>
      <c r="C164" s="368"/>
      <c r="D164" s="369"/>
      <c r="E164" s="66" t="s">
        <v>246</v>
      </c>
      <c r="F164" s="79"/>
      <c r="G164" s="50">
        <f t="shared" si="21"/>
        <v>0</v>
      </c>
      <c r="H164" s="79"/>
      <c r="I164" s="79"/>
      <c r="J164" s="79"/>
      <c r="K164" s="393"/>
      <c r="L164" s="21"/>
    </row>
    <row r="165" spans="1:12" ht="12.75">
      <c r="A165" s="367"/>
      <c r="B165" s="368" t="s">
        <v>18</v>
      </c>
      <c r="C165" s="368" t="s">
        <v>247</v>
      </c>
      <c r="D165" s="86" t="s">
        <v>20</v>
      </c>
      <c r="E165" s="66"/>
      <c r="F165" s="79"/>
      <c r="G165" s="50">
        <f t="shared" si="21"/>
        <v>0</v>
      </c>
      <c r="H165" s="79"/>
      <c r="I165" s="79"/>
      <c r="J165" s="79"/>
      <c r="K165" s="393"/>
      <c r="L165" s="21"/>
    </row>
    <row r="166" spans="1:12" ht="12.75">
      <c r="A166" s="367">
        <f>A164+1</f>
        <v>150</v>
      </c>
      <c r="B166" s="377" t="s">
        <v>248</v>
      </c>
      <c r="C166" s="368"/>
      <c r="D166" s="369"/>
      <c r="E166" s="85" t="s">
        <v>249</v>
      </c>
      <c r="F166" s="49">
        <f>F167+F170+F171+F174+F175</f>
        <v>0</v>
      </c>
      <c r="G166" s="50">
        <f t="shared" si="21"/>
        <v>83608.67</v>
      </c>
      <c r="H166" s="49">
        <f>H167+H170+H171+H174+H175</f>
        <v>36549.6</v>
      </c>
      <c r="I166" s="49">
        <f>I167+I170+I171+I174+I175</f>
        <v>37654.369999999995</v>
      </c>
      <c r="J166" s="49">
        <f>J167+J170+J171+J174+J175</f>
        <v>9404.7</v>
      </c>
      <c r="K166" s="49">
        <f>K167+K170+K171+K174+K175</f>
        <v>0</v>
      </c>
      <c r="L166" s="21"/>
    </row>
    <row r="167" spans="1:12" ht="12.75">
      <c r="A167" s="367">
        <f aca="true" t="shared" si="30" ref="A167:A230">A166+1</f>
        <v>151</v>
      </c>
      <c r="B167" s="368"/>
      <c r="C167" s="377" t="s">
        <v>108</v>
      </c>
      <c r="D167" s="369"/>
      <c r="E167" s="85" t="s">
        <v>250</v>
      </c>
      <c r="F167" s="49">
        <f>F168+F169</f>
        <v>0</v>
      </c>
      <c r="G167" s="50">
        <f t="shared" si="21"/>
        <v>0</v>
      </c>
      <c r="H167" s="49">
        <f>H168+H169</f>
        <v>0</v>
      </c>
      <c r="I167" s="49">
        <f>I168+I169</f>
        <v>0</v>
      </c>
      <c r="J167" s="49">
        <f>J168+J169</f>
        <v>0</v>
      </c>
      <c r="K167" s="49">
        <f>K168+K169</f>
        <v>0</v>
      </c>
      <c r="L167" s="21"/>
    </row>
    <row r="168" spans="1:17" ht="12.75">
      <c r="A168" s="367">
        <f t="shared" si="30"/>
        <v>152</v>
      </c>
      <c r="B168" s="368"/>
      <c r="C168" s="368"/>
      <c r="D168" s="379" t="s">
        <v>80</v>
      </c>
      <c r="E168" s="66" t="s">
        <v>251</v>
      </c>
      <c r="F168" s="79">
        <f>+F284+F400+F516+F631</f>
        <v>0</v>
      </c>
      <c r="G168" s="50">
        <f t="shared" si="21"/>
        <v>0</v>
      </c>
      <c r="H168" s="79">
        <f aca="true" t="shared" si="31" ref="H168:K170">+H284+H400+H516+H631</f>
        <v>0</v>
      </c>
      <c r="I168" s="79">
        <f t="shared" si="31"/>
        <v>0</v>
      </c>
      <c r="J168" s="79">
        <f t="shared" si="31"/>
        <v>0</v>
      </c>
      <c r="K168" s="393">
        <f t="shared" si="31"/>
        <v>0</v>
      </c>
      <c r="L168" s="21"/>
      <c r="M168" s="21"/>
      <c r="N168" s="21"/>
      <c r="O168" s="21"/>
      <c r="P168" s="21"/>
      <c r="Q168" s="21"/>
    </row>
    <row r="169" spans="1:12" ht="12.75">
      <c r="A169" s="367">
        <f t="shared" si="30"/>
        <v>153</v>
      </c>
      <c r="B169" s="368"/>
      <c r="C169" s="368"/>
      <c r="D169" s="369">
        <v>50</v>
      </c>
      <c r="E169" s="66" t="s">
        <v>252</v>
      </c>
      <c r="F169" s="79">
        <f>+F285+F401+F517+F632</f>
        <v>0</v>
      </c>
      <c r="G169" s="50">
        <f t="shared" si="21"/>
        <v>0</v>
      </c>
      <c r="H169" s="79">
        <f t="shared" si="31"/>
        <v>0</v>
      </c>
      <c r="I169" s="79">
        <f t="shared" si="31"/>
        <v>0</v>
      </c>
      <c r="J169" s="79">
        <f t="shared" si="31"/>
        <v>0</v>
      </c>
      <c r="K169" s="393">
        <f t="shared" si="31"/>
        <v>0</v>
      </c>
      <c r="L169" s="21"/>
    </row>
    <row r="170" spans="1:12" ht="12.75">
      <c r="A170" s="367">
        <f t="shared" si="30"/>
        <v>154</v>
      </c>
      <c r="B170" s="368"/>
      <c r="C170" s="377" t="s">
        <v>41</v>
      </c>
      <c r="D170" s="369"/>
      <c r="E170" s="59" t="s">
        <v>253</v>
      </c>
      <c r="F170" s="49">
        <f>+F286+F402+F518+F633</f>
        <v>0</v>
      </c>
      <c r="G170" s="50">
        <f t="shared" si="21"/>
        <v>0</v>
      </c>
      <c r="H170" s="49">
        <f t="shared" si="31"/>
        <v>0</v>
      </c>
      <c r="I170" s="49">
        <f t="shared" si="31"/>
        <v>0</v>
      </c>
      <c r="J170" s="49">
        <f t="shared" si="31"/>
        <v>0</v>
      </c>
      <c r="K170" s="124">
        <f t="shared" si="31"/>
        <v>0</v>
      </c>
      <c r="L170" s="21"/>
    </row>
    <row r="171" spans="1:12" ht="12.75">
      <c r="A171" s="367">
        <f t="shared" si="30"/>
        <v>155</v>
      </c>
      <c r="B171" s="368"/>
      <c r="C171" s="377" t="s">
        <v>154</v>
      </c>
      <c r="D171" s="369"/>
      <c r="E171" s="85" t="s">
        <v>254</v>
      </c>
      <c r="F171" s="49">
        <f>F172+F173</f>
        <v>0</v>
      </c>
      <c r="G171" s="50">
        <f t="shared" si="21"/>
        <v>83608.67</v>
      </c>
      <c r="H171" s="49">
        <f>H172+H173</f>
        <v>36549.6</v>
      </c>
      <c r="I171" s="49">
        <f>I172+I173</f>
        <v>37654.369999999995</v>
      </c>
      <c r="J171" s="49">
        <f>J172+J173</f>
        <v>9404.7</v>
      </c>
      <c r="K171" s="49">
        <f>K172+K173</f>
        <v>0</v>
      </c>
      <c r="L171" s="21"/>
    </row>
    <row r="172" spans="1:12" ht="12.75">
      <c r="A172" s="367">
        <f t="shared" si="30"/>
        <v>156</v>
      </c>
      <c r="B172" s="368"/>
      <c r="C172" s="368"/>
      <c r="D172" s="379" t="s">
        <v>47</v>
      </c>
      <c r="E172" s="66" t="s">
        <v>255</v>
      </c>
      <c r="F172" s="79">
        <f aca="true" t="shared" si="32" ref="F172:K173">+F288+F404+F520+F635</f>
        <v>0</v>
      </c>
      <c r="G172" s="50">
        <f t="shared" si="21"/>
        <v>83608.67</v>
      </c>
      <c r="H172" s="79">
        <f t="shared" si="32"/>
        <v>36549.6</v>
      </c>
      <c r="I172" s="79">
        <f t="shared" si="32"/>
        <v>37654.369999999995</v>
      </c>
      <c r="J172" s="79">
        <f t="shared" si="32"/>
        <v>9404.7</v>
      </c>
      <c r="K172" s="393">
        <f t="shared" si="32"/>
        <v>0</v>
      </c>
      <c r="L172" s="21"/>
    </row>
    <row r="173" spans="1:16" ht="12.75">
      <c r="A173" s="367">
        <f t="shared" si="30"/>
        <v>157</v>
      </c>
      <c r="B173" s="368"/>
      <c r="C173" s="368"/>
      <c r="D173" s="379" t="s">
        <v>154</v>
      </c>
      <c r="E173" s="66" t="s">
        <v>256</v>
      </c>
      <c r="F173" s="79">
        <f>+F289+F405+F521+F636</f>
        <v>0</v>
      </c>
      <c r="G173" s="50">
        <f t="shared" si="21"/>
        <v>0</v>
      </c>
      <c r="H173" s="79">
        <f t="shared" si="32"/>
        <v>0</v>
      </c>
      <c r="I173" s="79">
        <f t="shared" si="32"/>
        <v>0</v>
      </c>
      <c r="J173" s="79">
        <f t="shared" si="32"/>
        <v>0</v>
      </c>
      <c r="K173" s="393">
        <f t="shared" si="32"/>
        <v>0</v>
      </c>
      <c r="L173" s="21"/>
      <c r="M173" s="21"/>
      <c r="N173" s="21"/>
      <c r="O173" s="21"/>
      <c r="P173" s="21"/>
    </row>
    <row r="174" spans="1:12" ht="12.75">
      <c r="A174" s="367">
        <f t="shared" si="30"/>
        <v>158</v>
      </c>
      <c r="B174" s="368"/>
      <c r="C174" s="368">
        <v>10</v>
      </c>
      <c r="D174" s="369"/>
      <c r="E174" s="85" t="s">
        <v>257</v>
      </c>
      <c r="F174" s="49">
        <f>+F290</f>
        <v>0</v>
      </c>
      <c r="G174" s="50">
        <f t="shared" si="21"/>
        <v>0</v>
      </c>
      <c r="H174" s="49">
        <f>+H290</f>
        <v>0</v>
      </c>
      <c r="I174" s="49">
        <f>+I290</f>
        <v>0</v>
      </c>
      <c r="J174" s="49">
        <f>+J290</f>
        <v>0</v>
      </c>
      <c r="K174" s="124">
        <f>+K290</f>
        <v>0</v>
      </c>
      <c r="L174" s="21"/>
    </row>
    <row r="175" spans="1:12" ht="12.75">
      <c r="A175" s="367">
        <f t="shared" si="30"/>
        <v>159</v>
      </c>
      <c r="B175" s="368"/>
      <c r="C175" s="368">
        <v>50</v>
      </c>
      <c r="D175" s="369"/>
      <c r="E175" s="85" t="s">
        <v>258</v>
      </c>
      <c r="F175" s="49">
        <f>F176+F177</f>
        <v>0</v>
      </c>
      <c r="G175" s="50">
        <f t="shared" si="21"/>
        <v>0</v>
      </c>
      <c r="H175" s="49">
        <f>H176+H177</f>
        <v>0</v>
      </c>
      <c r="I175" s="49">
        <f>I176+I177</f>
        <v>0</v>
      </c>
      <c r="J175" s="49">
        <f>J176+J177</f>
        <v>0</v>
      </c>
      <c r="K175" s="49">
        <f>K176+K177</f>
        <v>0</v>
      </c>
      <c r="L175" s="21"/>
    </row>
    <row r="176" spans="1:19" ht="12.75">
      <c r="A176" s="367">
        <f t="shared" si="30"/>
        <v>160</v>
      </c>
      <c r="B176" s="368"/>
      <c r="C176" s="368"/>
      <c r="D176" s="379" t="s">
        <v>47</v>
      </c>
      <c r="E176" s="66" t="s">
        <v>259</v>
      </c>
      <c r="F176" s="79">
        <f>+F292</f>
        <v>0</v>
      </c>
      <c r="G176" s="50">
        <f t="shared" si="21"/>
        <v>0</v>
      </c>
      <c r="H176" s="79">
        <f aca="true" t="shared" si="33" ref="H176:K177">+H292</f>
        <v>0</v>
      </c>
      <c r="I176" s="79">
        <f t="shared" si="33"/>
        <v>0</v>
      </c>
      <c r="J176" s="79">
        <f t="shared" si="33"/>
        <v>0</v>
      </c>
      <c r="K176" s="393">
        <f t="shared" si="33"/>
        <v>0</v>
      </c>
      <c r="L176" s="21"/>
      <c r="M176" s="2" t="s">
        <v>351</v>
      </c>
      <c r="N176" t="s">
        <v>348</v>
      </c>
      <c r="P176" s="2"/>
      <c r="S176" s="2"/>
    </row>
    <row r="177" spans="1:12" ht="12.75">
      <c r="A177" s="367">
        <f t="shared" si="30"/>
        <v>161</v>
      </c>
      <c r="B177" s="368"/>
      <c r="C177" s="368"/>
      <c r="D177" s="369">
        <v>50</v>
      </c>
      <c r="E177" s="66" t="s">
        <v>260</v>
      </c>
      <c r="F177" s="79">
        <f>+F293</f>
        <v>0</v>
      </c>
      <c r="G177" s="50">
        <f t="shared" si="21"/>
        <v>0</v>
      </c>
      <c r="H177" s="79">
        <f t="shared" si="33"/>
        <v>0</v>
      </c>
      <c r="I177" s="79">
        <f t="shared" si="33"/>
        <v>0</v>
      </c>
      <c r="J177" s="79">
        <f t="shared" si="33"/>
        <v>0</v>
      </c>
      <c r="K177" s="393">
        <f t="shared" si="33"/>
        <v>0</v>
      </c>
      <c r="L177" s="21"/>
    </row>
    <row r="178" spans="1:21" ht="12.75">
      <c r="A178" s="367">
        <f t="shared" si="30"/>
        <v>162</v>
      </c>
      <c r="B178" s="368"/>
      <c r="C178" s="368"/>
      <c r="D178" s="369"/>
      <c r="E178" s="407" t="s">
        <v>261</v>
      </c>
      <c r="F178" s="49">
        <f>+F180+F268</f>
        <v>0</v>
      </c>
      <c r="G178" s="50">
        <f t="shared" si="21"/>
        <v>52707.310000000005</v>
      </c>
      <c r="H178" s="124">
        <f>+H180+H268</f>
        <v>27086.600000000002</v>
      </c>
      <c r="I178" s="124">
        <f>+I180+I268</f>
        <v>20977.670000000002</v>
      </c>
      <c r="J178" s="124">
        <f>+J180+J268</f>
        <v>4643.04</v>
      </c>
      <c r="K178" s="124">
        <f>+K180+K268</f>
        <v>0</v>
      </c>
      <c r="L178" s="21"/>
      <c r="M178" s="124">
        <f>+M180+M268</f>
        <v>8570.16</v>
      </c>
      <c r="N178" s="228">
        <f>54361.06-1809.18+2631.62</f>
        <v>55183.5</v>
      </c>
      <c r="O178" s="30">
        <f>G178-N178</f>
        <v>-2476.189999999995</v>
      </c>
      <c r="P178" s="228">
        <f>N178+O178</f>
        <v>52707.310000000005</v>
      </c>
      <c r="Q178" s="228"/>
      <c r="R178" s="228"/>
      <c r="S178" s="167"/>
      <c r="T178" s="167"/>
      <c r="U178" s="167"/>
    </row>
    <row r="179" spans="1:21" ht="12.75">
      <c r="A179" s="367"/>
      <c r="B179" s="368" t="s">
        <v>59</v>
      </c>
      <c r="C179" s="368" t="s">
        <v>60</v>
      </c>
      <c r="D179" s="86" t="s">
        <v>61</v>
      </c>
      <c r="E179" s="66" t="s">
        <v>21</v>
      </c>
      <c r="F179" s="49"/>
      <c r="G179" s="50">
        <f t="shared" si="21"/>
        <v>0</v>
      </c>
      <c r="H179" s="79"/>
      <c r="I179" s="79"/>
      <c r="J179" s="79"/>
      <c r="K179" s="393"/>
      <c r="L179" s="21"/>
      <c r="M179" s="21"/>
      <c r="N179" s="228"/>
      <c r="O179" s="30"/>
      <c r="P179" s="228">
        <f aca="true" t="shared" si="34" ref="P179:P242">N179+O179</f>
        <v>0</v>
      </c>
      <c r="Q179" s="228"/>
      <c r="R179" s="228"/>
      <c r="S179" s="167"/>
      <c r="T179" s="167"/>
      <c r="U179" s="167"/>
    </row>
    <row r="180" spans="1:21" ht="12.75">
      <c r="A180" s="367">
        <f>A178+1</f>
        <v>163</v>
      </c>
      <c r="B180" s="368"/>
      <c r="C180" s="368"/>
      <c r="D180" s="369"/>
      <c r="E180" s="59" t="s">
        <v>262</v>
      </c>
      <c r="F180" s="49">
        <f>+F181+F215+F257+F260+F261</f>
        <v>0</v>
      </c>
      <c r="G180" s="50">
        <f t="shared" si="21"/>
        <v>52432.090000000004</v>
      </c>
      <c r="H180" s="49">
        <f>+H181+H215+H257+H260+H261</f>
        <v>26976.83</v>
      </c>
      <c r="I180" s="49">
        <f>+I181+I215+I257+I260+I261</f>
        <v>20812.22</v>
      </c>
      <c r="J180" s="49">
        <f>+J181+J215+J257+J260+J261</f>
        <v>4643.04</v>
      </c>
      <c r="K180" s="49">
        <f>+K181+K215+K257+K260+K261</f>
        <v>0</v>
      </c>
      <c r="L180" s="21"/>
      <c r="M180" s="49">
        <f>+M181+M215+M257+M260+M261</f>
        <v>8570.16</v>
      </c>
      <c r="N180" s="228">
        <f>54362.18-1809.18+2631.62</f>
        <v>55184.62</v>
      </c>
      <c r="O180" s="30">
        <f aca="true" t="shared" si="35" ref="O180:O211">G180-N180</f>
        <v>-2752.529999999999</v>
      </c>
      <c r="P180" s="228">
        <f t="shared" si="34"/>
        <v>52432.090000000004</v>
      </c>
      <c r="Q180" s="228"/>
      <c r="R180" s="228"/>
      <c r="S180" s="167"/>
      <c r="T180" s="167"/>
      <c r="U180" s="167"/>
    </row>
    <row r="181" spans="1:21" ht="12.75">
      <c r="A181" s="367">
        <f t="shared" si="30"/>
        <v>164</v>
      </c>
      <c r="B181" s="368">
        <v>10</v>
      </c>
      <c r="C181" s="368"/>
      <c r="D181" s="369"/>
      <c r="E181" s="59" t="s">
        <v>263</v>
      </c>
      <c r="F181" s="49">
        <f>+F182+F200+F207</f>
        <v>0</v>
      </c>
      <c r="G181" s="50">
        <f t="shared" si="21"/>
        <v>32235.08</v>
      </c>
      <c r="H181" s="124">
        <f>+H182+H200+H207</f>
        <v>14807.82</v>
      </c>
      <c r="I181" s="124">
        <f>+I182+I200+I207</f>
        <v>13027.41</v>
      </c>
      <c r="J181" s="124">
        <f>+J182+J200+J207</f>
        <v>4399.85</v>
      </c>
      <c r="K181" s="124">
        <f>+K182+K200+K207</f>
        <v>0</v>
      </c>
      <c r="L181" s="21"/>
      <c r="M181" s="124">
        <f>+M182+M200+M207</f>
        <v>4548.15</v>
      </c>
      <c r="N181" s="228">
        <f>32578.46-328.01</f>
        <v>32250.45</v>
      </c>
      <c r="O181" s="30">
        <f t="shared" si="35"/>
        <v>-15.369999999998981</v>
      </c>
      <c r="P181" s="228">
        <f t="shared" si="34"/>
        <v>32235.08</v>
      </c>
      <c r="Q181" s="228"/>
      <c r="R181" s="228"/>
      <c r="S181" s="167"/>
      <c r="T181" s="167"/>
      <c r="U181" s="167"/>
    </row>
    <row r="182" spans="1:21" ht="12.75">
      <c r="A182" s="367">
        <f t="shared" si="30"/>
        <v>165</v>
      </c>
      <c r="B182" s="368"/>
      <c r="C182" s="377" t="s">
        <v>47</v>
      </c>
      <c r="D182" s="369"/>
      <c r="E182" s="85" t="s">
        <v>142</v>
      </c>
      <c r="F182" s="49">
        <f>+F183+F184+F185+F186+F187+F188+F189+F190+F191+F192+F193+F194+F195+F196+F197+F198+F199</f>
        <v>0</v>
      </c>
      <c r="G182" s="50">
        <f t="shared" si="21"/>
        <v>24063.059999999998</v>
      </c>
      <c r="H182" s="49">
        <f>+H183+H184+H185+H186+H187+H188+H189+H190+H191+H192+H193+H194+H195+H196+H197+H198+H199</f>
        <v>11344.039999999999</v>
      </c>
      <c r="I182" s="49">
        <f>+I183+I184+I185+I186+I187+I188+I189+I190+I191+I192+I193+I194+I195+I196+I197+I198+I199</f>
        <v>9507.41</v>
      </c>
      <c r="J182" s="49">
        <f>+J183+J184+J185+J186+J187+J188+J189+J190+J191+J192+J193+J194+J195+J196+J197+J198+J199</f>
        <v>3211.61</v>
      </c>
      <c r="K182" s="124">
        <f>+K183+K184+K185+K186+K187+K188+K189+K190+K191+K192+K193+K194+K195+K196+K197+K198+K199</f>
        <v>0</v>
      </c>
      <c r="L182" s="21"/>
      <c r="M182" s="124">
        <f>+M183+M184+M185+M186+M187+M188+M189+M190+M191+M192+M193+M194+M195+M196+M197+M198+M199</f>
        <v>3360.39</v>
      </c>
      <c r="N182" s="228">
        <f>24122.95-21.07</f>
        <v>24101.88</v>
      </c>
      <c r="O182" s="30">
        <f t="shared" si="35"/>
        <v>-38.82000000000335</v>
      </c>
      <c r="P182" s="228">
        <f t="shared" si="34"/>
        <v>24063.059999999998</v>
      </c>
      <c r="Q182" s="228"/>
      <c r="R182" s="228"/>
      <c r="S182" s="167"/>
      <c r="T182" s="167"/>
      <c r="U182" s="167"/>
    </row>
    <row r="183" spans="1:21" ht="12.75">
      <c r="A183" s="367">
        <f t="shared" si="30"/>
        <v>166</v>
      </c>
      <c r="B183" s="368"/>
      <c r="C183" s="368"/>
      <c r="D183" s="379" t="s">
        <v>47</v>
      </c>
      <c r="E183" s="66" t="s">
        <v>144</v>
      </c>
      <c r="F183" s="375"/>
      <c r="G183" s="50">
        <f t="shared" si="21"/>
        <v>17802.18</v>
      </c>
      <c r="H183" s="375">
        <f>8740.1+219.22-520-6.28</f>
        <v>8433.039999999999</v>
      </c>
      <c r="I183" s="375">
        <f>6857+266.41</f>
        <v>7123.41</v>
      </c>
      <c r="J183" s="375">
        <f>4668-M183</f>
        <v>2245.73</v>
      </c>
      <c r="K183" s="375"/>
      <c r="L183" s="21"/>
      <c r="M183" s="21">
        <v>2422.27</v>
      </c>
      <c r="N183" s="228">
        <f>17890.45</f>
        <v>17890.45</v>
      </c>
      <c r="O183" s="30">
        <f t="shared" si="35"/>
        <v>-88.27000000000044</v>
      </c>
      <c r="P183" s="228">
        <f t="shared" si="34"/>
        <v>17802.18</v>
      </c>
      <c r="Q183" s="228"/>
      <c r="R183" s="228"/>
      <c r="S183" s="167"/>
      <c r="T183" s="167"/>
      <c r="U183" s="167"/>
    </row>
    <row r="184" spans="1:21" ht="12.75">
      <c r="A184" s="367">
        <f t="shared" si="30"/>
        <v>167</v>
      </c>
      <c r="B184" s="368"/>
      <c r="C184" s="368"/>
      <c r="D184" s="379" t="s">
        <v>80</v>
      </c>
      <c r="E184" s="66" t="s">
        <v>146</v>
      </c>
      <c r="F184" s="375"/>
      <c r="G184" s="50">
        <f t="shared" si="21"/>
        <v>0</v>
      </c>
      <c r="H184" s="375">
        <v>0</v>
      </c>
      <c r="I184" s="375">
        <v>0</v>
      </c>
      <c r="J184" s="375">
        <v>0</v>
      </c>
      <c r="K184" s="375"/>
      <c r="L184" s="21"/>
      <c r="M184" s="21">
        <v>0</v>
      </c>
      <c r="N184" s="228"/>
      <c r="O184" s="30">
        <f t="shared" si="35"/>
        <v>0</v>
      </c>
      <c r="P184" s="228">
        <f t="shared" si="34"/>
        <v>0</v>
      </c>
      <c r="Q184" s="228"/>
      <c r="R184" s="228"/>
      <c r="S184" s="167"/>
      <c r="T184" s="167"/>
      <c r="U184" s="167"/>
    </row>
    <row r="185" spans="1:21" ht="12.75">
      <c r="A185" s="367">
        <f t="shared" si="30"/>
        <v>168</v>
      </c>
      <c r="B185" s="368"/>
      <c r="C185" s="368"/>
      <c r="D185" s="379" t="s">
        <v>84</v>
      </c>
      <c r="E185" s="66" t="s">
        <v>148</v>
      </c>
      <c r="F185" s="375"/>
      <c r="G185" s="50">
        <f t="shared" si="21"/>
        <v>0</v>
      </c>
      <c r="H185" s="375">
        <v>0</v>
      </c>
      <c r="I185" s="375">
        <v>0</v>
      </c>
      <c r="J185" s="375">
        <v>0</v>
      </c>
      <c r="K185" s="375"/>
      <c r="L185" s="21"/>
      <c r="M185" s="21">
        <v>0</v>
      </c>
      <c r="N185" s="228"/>
      <c r="O185" s="30">
        <f t="shared" si="35"/>
        <v>0</v>
      </c>
      <c r="P185" s="228">
        <f t="shared" si="34"/>
        <v>0</v>
      </c>
      <c r="Q185" s="228"/>
      <c r="R185" s="228"/>
      <c r="S185" s="167"/>
      <c r="T185" s="167"/>
      <c r="U185" s="167"/>
    </row>
    <row r="186" spans="1:21" ht="12.75">
      <c r="A186" s="367">
        <f t="shared" si="30"/>
        <v>169</v>
      </c>
      <c r="B186" s="368"/>
      <c r="C186" s="368"/>
      <c r="D186" s="379" t="s">
        <v>108</v>
      </c>
      <c r="E186" s="66" t="s">
        <v>150</v>
      </c>
      <c r="F186" s="375"/>
      <c r="G186" s="50">
        <f t="shared" si="21"/>
        <v>0</v>
      </c>
      <c r="H186" s="375">
        <v>0</v>
      </c>
      <c r="I186" s="375">
        <v>0</v>
      </c>
      <c r="J186" s="375">
        <v>0</v>
      </c>
      <c r="K186" s="375"/>
      <c r="L186" s="21"/>
      <c r="M186" s="21">
        <v>0</v>
      </c>
      <c r="N186" s="228"/>
      <c r="O186" s="30">
        <f t="shared" si="35"/>
        <v>0</v>
      </c>
      <c r="P186" s="228">
        <f t="shared" si="34"/>
        <v>0</v>
      </c>
      <c r="Q186" s="228"/>
      <c r="R186" s="228"/>
      <c r="S186" s="167"/>
      <c r="T186" s="167"/>
      <c r="U186" s="167"/>
    </row>
    <row r="187" spans="1:21" ht="12.75">
      <c r="A187" s="367">
        <f t="shared" si="30"/>
        <v>170</v>
      </c>
      <c r="B187" s="368"/>
      <c r="C187" s="368"/>
      <c r="D187" s="379" t="s">
        <v>41</v>
      </c>
      <c r="E187" s="66" t="s">
        <v>152</v>
      </c>
      <c r="F187" s="375"/>
      <c r="G187" s="50">
        <f t="shared" si="21"/>
        <v>2964.02</v>
      </c>
      <c r="H187" s="375">
        <v>1400</v>
      </c>
      <c r="I187" s="375">
        <v>1113</v>
      </c>
      <c r="J187" s="375">
        <f>900-M187</f>
        <v>451.02</v>
      </c>
      <c r="K187" s="375"/>
      <c r="L187" s="21"/>
      <c r="M187" s="21">
        <v>448.98</v>
      </c>
      <c r="N187" s="228">
        <v>2962.59</v>
      </c>
      <c r="O187" s="30">
        <f t="shared" si="35"/>
        <v>1.4299999999998363</v>
      </c>
      <c r="P187" s="228">
        <f t="shared" si="34"/>
        <v>2964.02</v>
      </c>
      <c r="Q187" s="228"/>
      <c r="R187" s="228"/>
      <c r="S187" s="167"/>
      <c r="T187" s="167"/>
      <c r="U187" s="167"/>
    </row>
    <row r="188" spans="1:21" ht="12.75">
      <c r="A188" s="367">
        <f t="shared" si="30"/>
        <v>171</v>
      </c>
      <c r="B188" s="368"/>
      <c r="C188" s="368"/>
      <c r="D188" s="379" t="s">
        <v>154</v>
      </c>
      <c r="E188" s="66" t="s">
        <v>155</v>
      </c>
      <c r="F188" s="375"/>
      <c r="G188" s="50">
        <f t="shared" si="21"/>
        <v>1961.22</v>
      </c>
      <c r="H188" s="375">
        <v>900</v>
      </c>
      <c r="I188" s="375">
        <v>750</v>
      </c>
      <c r="J188" s="375">
        <f>600-M188</f>
        <v>311.22</v>
      </c>
      <c r="K188" s="375"/>
      <c r="L188" s="21"/>
      <c r="M188" s="21">
        <v>288.78</v>
      </c>
      <c r="N188" s="228">
        <v>1944.16</v>
      </c>
      <c r="O188" s="30">
        <f t="shared" si="35"/>
        <v>17.059999999999945</v>
      </c>
      <c r="P188" s="228">
        <f t="shared" si="34"/>
        <v>1961.22</v>
      </c>
      <c r="Q188" s="228"/>
      <c r="R188" s="228"/>
      <c r="S188" s="167"/>
      <c r="T188" s="167"/>
      <c r="U188" s="167"/>
    </row>
    <row r="189" spans="1:21" ht="12.75">
      <c r="A189" s="367">
        <f t="shared" si="30"/>
        <v>172</v>
      </c>
      <c r="B189" s="368"/>
      <c r="C189" s="368"/>
      <c r="D189" s="379" t="s">
        <v>157</v>
      </c>
      <c r="E189" s="66" t="s">
        <v>158</v>
      </c>
      <c r="F189" s="375"/>
      <c r="G189" s="50">
        <f t="shared" si="21"/>
        <v>0</v>
      </c>
      <c r="H189" s="375">
        <v>0</v>
      </c>
      <c r="I189" s="375">
        <v>0</v>
      </c>
      <c r="J189" s="375">
        <v>0</v>
      </c>
      <c r="K189" s="375"/>
      <c r="L189" s="21"/>
      <c r="M189" s="21">
        <v>0</v>
      </c>
      <c r="N189" s="228"/>
      <c r="O189" s="30">
        <f t="shared" si="35"/>
        <v>0</v>
      </c>
      <c r="P189" s="228">
        <f t="shared" si="34"/>
        <v>0</v>
      </c>
      <c r="Q189" s="228"/>
      <c r="R189" s="228"/>
      <c r="S189" s="167"/>
      <c r="T189" s="167"/>
      <c r="U189" s="167"/>
    </row>
    <row r="190" spans="1:21" ht="12.75">
      <c r="A190" s="367">
        <f t="shared" si="30"/>
        <v>173</v>
      </c>
      <c r="B190" s="368"/>
      <c r="C190" s="368"/>
      <c r="D190" s="379" t="s">
        <v>65</v>
      </c>
      <c r="E190" s="66" t="s">
        <v>159</v>
      </c>
      <c r="F190" s="375"/>
      <c r="G190" s="50">
        <f t="shared" si="21"/>
        <v>0</v>
      </c>
      <c r="H190" s="375">
        <v>0</v>
      </c>
      <c r="I190" s="375">
        <v>0</v>
      </c>
      <c r="J190" s="375">
        <v>0</v>
      </c>
      <c r="K190" s="375"/>
      <c r="L190" s="21"/>
      <c r="M190" s="21">
        <v>0</v>
      </c>
      <c r="N190" s="228"/>
      <c r="O190" s="30">
        <f t="shared" si="35"/>
        <v>0</v>
      </c>
      <c r="P190" s="228">
        <f t="shared" si="34"/>
        <v>0</v>
      </c>
      <c r="Q190" s="228"/>
      <c r="R190" s="228"/>
      <c r="S190" s="167"/>
      <c r="T190" s="167"/>
      <c r="U190" s="167"/>
    </row>
    <row r="191" spans="1:21" ht="12.75">
      <c r="A191" s="367">
        <f t="shared" si="30"/>
        <v>174</v>
      </c>
      <c r="B191" s="368"/>
      <c r="C191" s="368"/>
      <c r="D191" s="379" t="s">
        <v>160</v>
      </c>
      <c r="E191" s="66" t="s">
        <v>264</v>
      </c>
      <c r="F191" s="375"/>
      <c r="G191" s="50">
        <f aca="true" t="shared" si="36" ref="G191:G254">H191+I191+J191+K191</f>
        <v>0</v>
      </c>
      <c r="H191" s="375">
        <v>0</v>
      </c>
      <c r="I191" s="375">
        <v>0</v>
      </c>
      <c r="J191" s="375">
        <v>0</v>
      </c>
      <c r="K191" s="375"/>
      <c r="L191" s="21"/>
      <c r="M191" s="21">
        <v>0</v>
      </c>
      <c r="N191" s="228"/>
      <c r="O191" s="30">
        <f t="shared" si="35"/>
        <v>0</v>
      </c>
      <c r="P191" s="228">
        <f t="shared" si="34"/>
        <v>0</v>
      </c>
      <c r="Q191" s="228"/>
      <c r="R191" s="228"/>
      <c r="S191" s="167"/>
      <c r="T191" s="167"/>
      <c r="U191" s="167"/>
    </row>
    <row r="192" spans="1:21" ht="12.75">
      <c r="A192" s="367">
        <f t="shared" si="30"/>
        <v>175</v>
      </c>
      <c r="B192" s="368"/>
      <c r="C192" s="368"/>
      <c r="D192" s="369">
        <v>10</v>
      </c>
      <c r="E192" s="66" t="s">
        <v>162</v>
      </c>
      <c r="F192" s="375"/>
      <c r="G192" s="50">
        <f t="shared" si="36"/>
        <v>0</v>
      </c>
      <c r="H192" s="375">
        <v>0</v>
      </c>
      <c r="I192" s="375">
        <v>0</v>
      </c>
      <c r="J192" s="375">
        <v>0</v>
      </c>
      <c r="K192" s="375"/>
      <c r="L192" s="21"/>
      <c r="M192" s="21">
        <v>0</v>
      </c>
      <c r="N192" s="228"/>
      <c r="O192" s="30">
        <f t="shared" si="35"/>
        <v>0</v>
      </c>
      <c r="P192" s="228">
        <f t="shared" si="34"/>
        <v>0</v>
      </c>
      <c r="Q192" s="228"/>
      <c r="R192" s="228"/>
      <c r="S192" s="167"/>
      <c r="T192" s="167"/>
      <c r="U192" s="167"/>
    </row>
    <row r="193" spans="1:21" ht="12.75">
      <c r="A193" s="367">
        <f t="shared" si="30"/>
        <v>176</v>
      </c>
      <c r="B193" s="368"/>
      <c r="C193" s="368"/>
      <c r="D193" s="369">
        <v>11</v>
      </c>
      <c r="E193" s="66" t="s">
        <v>163</v>
      </c>
      <c r="F193" s="375"/>
      <c r="G193" s="50">
        <f t="shared" si="36"/>
        <v>1331.6399999999999</v>
      </c>
      <c r="H193" s="375">
        <v>610</v>
      </c>
      <c r="I193" s="375">
        <v>520</v>
      </c>
      <c r="J193" s="375">
        <f>402-M193</f>
        <v>201.64</v>
      </c>
      <c r="K193" s="375"/>
      <c r="L193" s="21"/>
      <c r="M193" s="21">
        <v>200.36</v>
      </c>
      <c r="N193" s="228">
        <v>1325.24</v>
      </c>
      <c r="O193" s="30">
        <f t="shared" si="35"/>
        <v>6.399999999999864</v>
      </c>
      <c r="P193" s="228">
        <f t="shared" si="34"/>
        <v>1331.6399999999999</v>
      </c>
      <c r="Q193" s="228"/>
      <c r="R193" s="228"/>
      <c r="S193" s="167"/>
      <c r="T193" s="167"/>
      <c r="U193" s="167"/>
    </row>
    <row r="194" spans="1:21" ht="12.75">
      <c r="A194" s="367">
        <f t="shared" si="30"/>
        <v>177</v>
      </c>
      <c r="B194" s="368"/>
      <c r="C194" s="368"/>
      <c r="D194" s="369">
        <v>12</v>
      </c>
      <c r="E194" s="66" t="s">
        <v>164</v>
      </c>
      <c r="F194" s="375"/>
      <c r="G194" s="50">
        <f t="shared" si="36"/>
        <v>0</v>
      </c>
      <c r="H194" s="375">
        <v>0</v>
      </c>
      <c r="I194" s="375">
        <v>0</v>
      </c>
      <c r="J194" s="375">
        <v>0</v>
      </c>
      <c r="K194" s="375"/>
      <c r="L194" s="21"/>
      <c r="M194" s="21">
        <v>0</v>
      </c>
      <c r="N194" s="228"/>
      <c r="O194" s="30">
        <f t="shared" si="35"/>
        <v>0</v>
      </c>
      <c r="P194" s="228">
        <f t="shared" si="34"/>
        <v>0</v>
      </c>
      <c r="Q194" s="228"/>
      <c r="R194" s="228"/>
      <c r="S194" s="167"/>
      <c r="T194" s="167"/>
      <c r="U194" s="167"/>
    </row>
    <row r="195" spans="1:21" ht="12.75">
      <c r="A195" s="367">
        <f t="shared" si="30"/>
        <v>178</v>
      </c>
      <c r="B195" s="368"/>
      <c r="C195" s="368"/>
      <c r="D195" s="369">
        <v>13</v>
      </c>
      <c r="E195" s="66" t="s">
        <v>165</v>
      </c>
      <c r="F195" s="375"/>
      <c r="G195" s="50">
        <f t="shared" si="36"/>
        <v>4</v>
      </c>
      <c r="H195" s="375">
        <v>1</v>
      </c>
      <c r="I195" s="375">
        <v>1</v>
      </c>
      <c r="J195" s="477">
        <v>2</v>
      </c>
      <c r="K195" s="375"/>
      <c r="L195" s="21"/>
      <c r="M195" s="21">
        <v>0</v>
      </c>
      <c r="N195" s="228">
        <v>0.52</v>
      </c>
      <c r="O195" s="30">
        <f t="shared" si="35"/>
        <v>3.48</v>
      </c>
      <c r="P195" s="228">
        <f t="shared" si="34"/>
        <v>4</v>
      </c>
      <c r="Q195" s="228"/>
      <c r="R195" s="228"/>
      <c r="S195" s="167"/>
      <c r="T195" s="167"/>
      <c r="U195" s="167"/>
    </row>
    <row r="196" spans="1:21" ht="12.75">
      <c r="A196" s="367">
        <f t="shared" si="30"/>
        <v>179</v>
      </c>
      <c r="B196" s="368"/>
      <c r="C196" s="368"/>
      <c r="D196" s="369">
        <v>14</v>
      </c>
      <c r="E196" s="66" t="s">
        <v>166</v>
      </c>
      <c r="F196" s="375"/>
      <c r="G196" s="50">
        <f t="shared" si="36"/>
        <v>0</v>
      </c>
      <c r="H196" s="375">
        <v>0</v>
      </c>
      <c r="I196" s="375">
        <v>0</v>
      </c>
      <c r="J196" s="375">
        <v>0</v>
      </c>
      <c r="K196" s="375"/>
      <c r="L196" s="21"/>
      <c r="M196" s="21">
        <v>0</v>
      </c>
      <c r="N196" s="228"/>
      <c r="O196" s="30">
        <f t="shared" si="35"/>
        <v>0</v>
      </c>
      <c r="P196" s="228">
        <f t="shared" si="34"/>
        <v>0</v>
      </c>
      <c r="Q196" s="228"/>
      <c r="R196" s="228"/>
      <c r="S196" s="167"/>
      <c r="T196" s="167"/>
      <c r="U196" s="167"/>
    </row>
    <row r="197" spans="1:21" ht="12.75">
      <c r="A197" s="367">
        <f t="shared" si="30"/>
        <v>180</v>
      </c>
      <c r="B197" s="368"/>
      <c r="C197" s="368"/>
      <c r="D197" s="369">
        <v>15</v>
      </c>
      <c r="E197" s="66" t="s">
        <v>167</v>
      </c>
      <c r="F197" s="375"/>
      <c r="G197" s="50">
        <f t="shared" si="36"/>
        <v>0</v>
      </c>
      <c r="H197" s="375">
        <v>0</v>
      </c>
      <c r="I197" s="375">
        <v>0</v>
      </c>
      <c r="J197" s="375">
        <v>0</v>
      </c>
      <c r="K197" s="375"/>
      <c r="L197" s="21"/>
      <c r="M197" s="21">
        <v>0</v>
      </c>
      <c r="N197" s="228"/>
      <c r="O197" s="30">
        <f t="shared" si="35"/>
        <v>0</v>
      </c>
      <c r="P197" s="228">
        <f t="shared" si="34"/>
        <v>0</v>
      </c>
      <c r="Q197" s="228"/>
      <c r="R197" s="228"/>
      <c r="S197" s="167"/>
      <c r="T197" s="167"/>
      <c r="U197" s="167"/>
    </row>
    <row r="198" spans="1:21" ht="12.75">
      <c r="A198" s="367">
        <f t="shared" si="30"/>
        <v>181</v>
      </c>
      <c r="B198" s="368"/>
      <c r="C198" s="368"/>
      <c r="D198" s="369">
        <v>16</v>
      </c>
      <c r="E198" s="66" t="s">
        <v>168</v>
      </c>
      <c r="F198" s="375"/>
      <c r="G198" s="50">
        <f t="shared" si="36"/>
        <v>0</v>
      </c>
      <c r="H198" s="375">
        <v>0</v>
      </c>
      <c r="I198" s="375">
        <v>0</v>
      </c>
      <c r="J198" s="375">
        <v>0</v>
      </c>
      <c r="K198" s="375"/>
      <c r="L198" s="21"/>
      <c r="M198" s="21">
        <v>0</v>
      </c>
      <c r="N198" s="228"/>
      <c r="O198" s="30">
        <f t="shared" si="35"/>
        <v>0</v>
      </c>
      <c r="P198" s="228">
        <f t="shared" si="34"/>
        <v>0</v>
      </c>
      <c r="Q198" s="228"/>
      <c r="R198" s="228"/>
      <c r="S198" s="167"/>
      <c r="T198" s="167"/>
      <c r="U198" s="167"/>
    </row>
    <row r="199" spans="1:21" ht="12.75">
      <c r="A199" s="367">
        <f t="shared" si="30"/>
        <v>182</v>
      </c>
      <c r="B199" s="368"/>
      <c r="C199" s="368"/>
      <c r="D199" s="369">
        <v>30</v>
      </c>
      <c r="E199" s="66" t="s">
        <v>169</v>
      </c>
      <c r="F199" s="375"/>
      <c r="G199" s="50">
        <f t="shared" si="36"/>
        <v>0</v>
      </c>
      <c r="H199" s="375">
        <v>0</v>
      </c>
      <c r="I199" s="375">
        <v>0</v>
      </c>
      <c r="J199" s="375">
        <v>0</v>
      </c>
      <c r="K199" s="375"/>
      <c r="L199" s="21"/>
      <c r="M199" s="21">
        <v>0</v>
      </c>
      <c r="N199" s="228"/>
      <c r="O199" s="30">
        <f t="shared" si="35"/>
        <v>0</v>
      </c>
      <c r="P199" s="228">
        <f t="shared" si="34"/>
        <v>0</v>
      </c>
      <c r="Q199" s="228"/>
      <c r="R199" s="228"/>
      <c r="S199" s="167"/>
      <c r="T199" s="167"/>
      <c r="U199" s="167"/>
    </row>
    <row r="200" spans="1:21" ht="12.75">
      <c r="A200" s="367">
        <f t="shared" si="30"/>
        <v>183</v>
      </c>
      <c r="B200" s="368"/>
      <c r="C200" s="377" t="s">
        <v>80</v>
      </c>
      <c r="D200" s="369"/>
      <c r="E200" s="85" t="s">
        <v>170</v>
      </c>
      <c r="F200" s="49">
        <f>+F201+F202+F203+F204+F205+F206</f>
        <v>0</v>
      </c>
      <c r="G200" s="50">
        <f t="shared" si="36"/>
        <v>1464.45</v>
      </c>
      <c r="H200" s="49">
        <f>+H201+H202+H203+H204+H205+H206</f>
        <v>540.78</v>
      </c>
      <c r="I200" s="49">
        <f>+I201+I202+I203+I204+I205+I206</f>
        <v>685</v>
      </c>
      <c r="J200" s="49">
        <f>+J201+J202+J203+J204+J205+J206</f>
        <v>238.67</v>
      </c>
      <c r="K200" s="49">
        <f>+K201+K202+K203+K204+K205+K206</f>
        <v>0</v>
      </c>
      <c r="L200" s="21"/>
      <c r="M200" s="49">
        <f>+M201+M202+M203+M204+M205+M206</f>
        <v>241.33</v>
      </c>
      <c r="N200" s="228">
        <v>1466.23</v>
      </c>
      <c r="O200" s="30">
        <f t="shared" si="35"/>
        <v>-1.7799999999999727</v>
      </c>
      <c r="P200" s="228">
        <f t="shared" si="34"/>
        <v>1464.45</v>
      </c>
      <c r="Q200" s="228"/>
      <c r="R200" s="228"/>
      <c r="S200" s="167"/>
      <c r="T200" s="167"/>
      <c r="U200" s="167"/>
    </row>
    <row r="201" spans="1:21" ht="12.75">
      <c r="A201" s="367">
        <f t="shared" si="30"/>
        <v>184</v>
      </c>
      <c r="B201" s="368"/>
      <c r="C201" s="368"/>
      <c r="D201" s="379" t="s">
        <v>47</v>
      </c>
      <c r="E201" s="66" t="s">
        <v>265</v>
      </c>
      <c r="F201" s="375"/>
      <c r="G201" s="50">
        <f t="shared" si="36"/>
        <v>1464.45</v>
      </c>
      <c r="H201" s="375">
        <f>460+114.48-33.7</f>
        <v>540.78</v>
      </c>
      <c r="I201" s="375">
        <v>685</v>
      </c>
      <c r="J201" s="375">
        <f>480-M201</f>
        <v>238.67</v>
      </c>
      <c r="K201" s="375"/>
      <c r="L201" s="21"/>
      <c r="M201" s="21">
        <v>241.33</v>
      </c>
      <c r="N201" s="228">
        <v>1466.23</v>
      </c>
      <c r="O201" s="30">
        <f t="shared" si="35"/>
        <v>-1.7799999999999727</v>
      </c>
      <c r="P201" s="228">
        <f t="shared" si="34"/>
        <v>1464.45</v>
      </c>
      <c r="Q201" s="228"/>
      <c r="R201" s="228"/>
      <c r="S201" s="167"/>
      <c r="T201" s="167"/>
      <c r="U201" s="167"/>
    </row>
    <row r="202" spans="1:21" ht="12.75">
      <c r="A202" s="367">
        <f t="shared" si="30"/>
        <v>185</v>
      </c>
      <c r="B202" s="368"/>
      <c r="C202" s="368"/>
      <c r="D202" s="379" t="s">
        <v>80</v>
      </c>
      <c r="E202" s="66" t="s">
        <v>266</v>
      </c>
      <c r="F202" s="375"/>
      <c r="G202" s="50">
        <f t="shared" si="36"/>
        <v>0</v>
      </c>
      <c r="H202" s="375">
        <v>0</v>
      </c>
      <c r="I202" s="375">
        <v>0</v>
      </c>
      <c r="J202" s="375">
        <v>0</v>
      </c>
      <c r="K202" s="375"/>
      <c r="L202" s="21"/>
      <c r="M202" s="21">
        <v>0</v>
      </c>
      <c r="N202" s="228"/>
      <c r="O202" s="30">
        <f t="shared" si="35"/>
        <v>0</v>
      </c>
      <c r="P202" s="228">
        <f t="shared" si="34"/>
        <v>0</v>
      </c>
      <c r="Q202" s="228"/>
      <c r="R202" s="228"/>
      <c r="S202" s="167"/>
      <c r="T202" s="167"/>
      <c r="U202" s="167"/>
    </row>
    <row r="203" spans="1:21" ht="12.75">
      <c r="A203" s="367">
        <f t="shared" si="30"/>
        <v>186</v>
      </c>
      <c r="B203" s="368"/>
      <c r="C203" s="368"/>
      <c r="D203" s="379" t="s">
        <v>84</v>
      </c>
      <c r="E203" s="66" t="s">
        <v>173</v>
      </c>
      <c r="F203" s="375"/>
      <c r="G203" s="50">
        <f t="shared" si="36"/>
        <v>0</v>
      </c>
      <c r="H203" s="375">
        <v>0</v>
      </c>
      <c r="I203" s="375">
        <v>0</v>
      </c>
      <c r="J203" s="375">
        <v>0</v>
      </c>
      <c r="K203" s="375"/>
      <c r="L203" s="21"/>
      <c r="M203" s="21">
        <v>0</v>
      </c>
      <c r="N203" s="228"/>
      <c r="O203" s="30">
        <f t="shared" si="35"/>
        <v>0</v>
      </c>
      <c r="P203" s="228">
        <f t="shared" si="34"/>
        <v>0</v>
      </c>
      <c r="Q203" s="228"/>
      <c r="R203" s="228"/>
      <c r="S203" s="167"/>
      <c r="T203" s="167"/>
      <c r="U203" s="167"/>
    </row>
    <row r="204" spans="1:21" ht="12.75">
      <c r="A204" s="367">
        <f t="shared" si="30"/>
        <v>187</v>
      </c>
      <c r="B204" s="368"/>
      <c r="C204" s="368"/>
      <c r="D204" s="379" t="s">
        <v>108</v>
      </c>
      <c r="E204" s="66" t="s">
        <v>267</v>
      </c>
      <c r="F204" s="375"/>
      <c r="G204" s="50">
        <f t="shared" si="36"/>
        <v>0</v>
      </c>
      <c r="H204" s="375">
        <v>0</v>
      </c>
      <c r="I204" s="375">
        <v>0</v>
      </c>
      <c r="J204" s="375">
        <v>0</v>
      </c>
      <c r="K204" s="375"/>
      <c r="L204" s="21"/>
      <c r="M204" s="21">
        <v>0</v>
      </c>
      <c r="N204" s="228"/>
      <c r="O204" s="30">
        <f t="shared" si="35"/>
        <v>0</v>
      </c>
      <c r="P204" s="228">
        <f t="shared" si="34"/>
        <v>0</v>
      </c>
      <c r="Q204" s="228"/>
      <c r="R204" s="228"/>
      <c r="S204" s="167"/>
      <c r="T204" s="167"/>
      <c r="U204" s="167"/>
    </row>
    <row r="205" spans="1:21" ht="12.75">
      <c r="A205" s="367">
        <f t="shared" si="30"/>
        <v>188</v>
      </c>
      <c r="B205" s="368"/>
      <c r="C205" s="368"/>
      <c r="D205" s="379" t="s">
        <v>41</v>
      </c>
      <c r="E205" s="66" t="s">
        <v>268</v>
      </c>
      <c r="F205" s="375"/>
      <c r="G205" s="50">
        <f t="shared" si="36"/>
        <v>0</v>
      </c>
      <c r="H205" s="375">
        <v>0</v>
      </c>
      <c r="I205" s="375">
        <v>0</v>
      </c>
      <c r="J205" s="375">
        <v>0</v>
      </c>
      <c r="K205" s="375"/>
      <c r="L205" s="21"/>
      <c r="M205" s="21">
        <v>0</v>
      </c>
      <c r="N205" s="228"/>
      <c r="O205" s="30">
        <f t="shared" si="35"/>
        <v>0</v>
      </c>
      <c r="P205" s="228">
        <f t="shared" si="34"/>
        <v>0</v>
      </c>
      <c r="Q205" s="228"/>
      <c r="R205" s="228"/>
      <c r="S205" s="167"/>
      <c r="T205" s="167"/>
      <c r="U205" s="167"/>
    </row>
    <row r="206" spans="1:21" ht="12.75">
      <c r="A206" s="367">
        <f t="shared" si="30"/>
        <v>189</v>
      </c>
      <c r="B206" s="368"/>
      <c r="C206" s="368"/>
      <c r="D206" s="369">
        <v>30</v>
      </c>
      <c r="E206" s="66" t="s">
        <v>176</v>
      </c>
      <c r="F206" s="375"/>
      <c r="G206" s="50">
        <f t="shared" si="36"/>
        <v>0</v>
      </c>
      <c r="H206" s="375">
        <v>0</v>
      </c>
      <c r="I206" s="375">
        <v>0</v>
      </c>
      <c r="J206" s="375">
        <v>0</v>
      </c>
      <c r="K206" s="375"/>
      <c r="L206" s="21"/>
      <c r="M206" s="21">
        <v>0</v>
      </c>
      <c r="N206" s="228"/>
      <c r="O206" s="30">
        <f t="shared" si="35"/>
        <v>0</v>
      </c>
      <c r="P206" s="228">
        <f t="shared" si="34"/>
        <v>0</v>
      </c>
      <c r="Q206" s="228"/>
      <c r="R206" s="228"/>
      <c r="S206" s="167"/>
      <c r="T206" s="167"/>
      <c r="U206" s="167"/>
    </row>
    <row r="207" spans="1:21" ht="12.75">
      <c r="A207" s="367">
        <f t="shared" si="30"/>
        <v>190</v>
      </c>
      <c r="B207" s="368"/>
      <c r="C207" s="377" t="s">
        <v>84</v>
      </c>
      <c r="D207" s="369"/>
      <c r="E207" s="85" t="s">
        <v>177</v>
      </c>
      <c r="F207" s="49">
        <f>+F208+F209+F210+F211+F212+F213+F214</f>
        <v>0</v>
      </c>
      <c r="G207" s="50">
        <f t="shared" si="36"/>
        <v>6707.57</v>
      </c>
      <c r="H207" s="49">
        <f>+H208+H209+H210+H211+H212+H213+H214</f>
        <v>2923</v>
      </c>
      <c r="I207" s="49">
        <f>+I208+I209+I210+I211+I212+I213+I214</f>
        <v>2835</v>
      </c>
      <c r="J207" s="49">
        <f>+J208+J209+J210+J211+J212+J213+J214</f>
        <v>949.57</v>
      </c>
      <c r="K207" s="49">
        <f>+K208+K209+K210+K211+K212+K213+K214</f>
        <v>0</v>
      </c>
      <c r="L207" s="21"/>
      <c r="M207" s="49">
        <f>+M208+M209+M210+M211+M212+M213+M214</f>
        <v>946.43</v>
      </c>
      <c r="N207" s="229">
        <f>6989.29-306.94</f>
        <v>6682.35</v>
      </c>
      <c r="O207" s="30">
        <f t="shared" si="35"/>
        <v>25.219999999999345</v>
      </c>
      <c r="P207" s="228">
        <f t="shared" si="34"/>
        <v>6707.57</v>
      </c>
      <c r="Q207" s="228"/>
      <c r="R207" s="228"/>
      <c r="S207" s="167"/>
      <c r="T207" s="167"/>
      <c r="U207" s="167"/>
    </row>
    <row r="208" spans="1:21" ht="12.75">
      <c r="A208" s="367">
        <f t="shared" si="30"/>
        <v>191</v>
      </c>
      <c r="B208" s="368"/>
      <c r="C208" s="368"/>
      <c r="D208" s="379" t="s">
        <v>47</v>
      </c>
      <c r="E208" s="66" t="s">
        <v>178</v>
      </c>
      <c r="F208" s="375"/>
      <c r="G208" s="50">
        <f t="shared" si="36"/>
        <v>5160.22</v>
      </c>
      <c r="H208" s="375">
        <v>2280</v>
      </c>
      <c r="I208" s="375">
        <v>2170</v>
      </c>
      <c r="J208" s="375">
        <f>1420-M208</f>
        <v>710.22</v>
      </c>
      <c r="K208" s="375"/>
      <c r="L208" s="21"/>
      <c r="M208" s="21">
        <v>709.78</v>
      </c>
      <c r="N208" s="229">
        <f>5153.36-3.26</f>
        <v>5150.099999999999</v>
      </c>
      <c r="O208" s="30">
        <f t="shared" si="35"/>
        <v>10.1200000000008</v>
      </c>
      <c r="P208" s="228">
        <f t="shared" si="34"/>
        <v>5160.22</v>
      </c>
      <c r="Q208" s="228"/>
      <c r="R208" s="228"/>
      <c r="S208" s="167"/>
      <c r="T208" s="167"/>
      <c r="U208" s="167"/>
    </row>
    <row r="209" spans="1:21" ht="12.75">
      <c r="A209" s="367">
        <f t="shared" si="30"/>
        <v>192</v>
      </c>
      <c r="B209" s="368"/>
      <c r="C209" s="368"/>
      <c r="D209" s="379" t="s">
        <v>80</v>
      </c>
      <c r="E209" s="66" t="s">
        <v>179</v>
      </c>
      <c r="F209" s="375"/>
      <c r="G209" s="50">
        <f t="shared" si="36"/>
        <v>123.63</v>
      </c>
      <c r="H209" s="375">
        <v>53</v>
      </c>
      <c r="I209" s="375">
        <v>53</v>
      </c>
      <c r="J209" s="375">
        <f>34-M209</f>
        <v>17.63</v>
      </c>
      <c r="K209" s="375"/>
      <c r="L209" s="21"/>
      <c r="M209" s="21">
        <v>16.37</v>
      </c>
      <c r="N209" s="229">
        <f>118.71-0.08</f>
        <v>118.63</v>
      </c>
      <c r="O209" s="30">
        <f t="shared" si="35"/>
        <v>5</v>
      </c>
      <c r="P209" s="228">
        <f t="shared" si="34"/>
        <v>123.63</v>
      </c>
      <c r="Q209" s="228"/>
      <c r="R209" s="228"/>
      <c r="S209" s="167"/>
      <c r="T209" s="167"/>
      <c r="U209" s="167"/>
    </row>
    <row r="210" spans="1:21" ht="12.75">
      <c r="A210" s="367">
        <f t="shared" si="30"/>
        <v>193</v>
      </c>
      <c r="B210" s="368"/>
      <c r="C210" s="368"/>
      <c r="D210" s="379" t="s">
        <v>84</v>
      </c>
      <c r="E210" s="66" t="s">
        <v>180</v>
      </c>
      <c r="F210" s="375"/>
      <c r="G210" s="50">
        <f t="shared" si="36"/>
        <v>1256.24</v>
      </c>
      <c r="H210" s="375">
        <v>560</v>
      </c>
      <c r="I210" s="375">
        <v>510</v>
      </c>
      <c r="J210" s="375">
        <f>372-M210</f>
        <v>186.24</v>
      </c>
      <c r="K210" s="375"/>
      <c r="L210" s="21"/>
      <c r="M210" s="21">
        <v>185.76</v>
      </c>
      <c r="N210" s="229">
        <f>1250.44-0.82</f>
        <v>1249.6200000000001</v>
      </c>
      <c r="O210" s="30">
        <f t="shared" si="35"/>
        <v>6.619999999999891</v>
      </c>
      <c r="P210" s="228">
        <f t="shared" si="34"/>
        <v>1256.24</v>
      </c>
      <c r="Q210" s="228"/>
      <c r="R210" s="228"/>
      <c r="S210" s="167"/>
      <c r="T210" s="167"/>
      <c r="U210" s="167"/>
    </row>
    <row r="211" spans="1:21" ht="12.75">
      <c r="A211" s="367">
        <f t="shared" si="30"/>
        <v>194</v>
      </c>
      <c r="B211" s="368"/>
      <c r="C211" s="368"/>
      <c r="D211" s="379" t="s">
        <v>108</v>
      </c>
      <c r="E211" s="66" t="s">
        <v>269</v>
      </c>
      <c r="F211" s="375"/>
      <c r="G211" s="50">
        <f t="shared" si="36"/>
        <v>70.15</v>
      </c>
      <c r="H211" s="375">
        <v>30</v>
      </c>
      <c r="I211" s="375">
        <v>30</v>
      </c>
      <c r="J211" s="375">
        <f>20-M211</f>
        <v>10.15</v>
      </c>
      <c r="K211" s="375"/>
      <c r="L211" s="21"/>
      <c r="M211" s="21">
        <v>9.85</v>
      </c>
      <c r="N211" s="229">
        <f>67.32-0.04</f>
        <v>67.27999999999999</v>
      </c>
      <c r="O211" s="30">
        <f t="shared" si="35"/>
        <v>2.8700000000000188</v>
      </c>
      <c r="P211" s="228">
        <f t="shared" si="34"/>
        <v>70.15</v>
      </c>
      <c r="Q211" s="228"/>
      <c r="R211" s="228"/>
      <c r="S211" s="167"/>
      <c r="T211" s="167"/>
      <c r="U211" s="167"/>
    </row>
    <row r="212" spans="1:21" ht="12.75">
      <c r="A212" s="367">
        <f t="shared" si="30"/>
        <v>195</v>
      </c>
      <c r="B212" s="368"/>
      <c r="C212" s="368"/>
      <c r="D212" s="379" t="s">
        <v>41</v>
      </c>
      <c r="E212" s="66" t="s">
        <v>182</v>
      </c>
      <c r="F212" s="375"/>
      <c r="G212" s="50">
        <f t="shared" si="36"/>
        <v>0</v>
      </c>
      <c r="H212" s="375">
        <v>0</v>
      </c>
      <c r="I212" s="375">
        <v>0</v>
      </c>
      <c r="J212" s="375">
        <v>0</v>
      </c>
      <c r="K212" s="375"/>
      <c r="L212" s="21"/>
      <c r="M212" s="21">
        <v>0</v>
      </c>
      <c r="N212" s="229">
        <v>0</v>
      </c>
      <c r="O212" s="30">
        <f aca="true" t="shared" si="37" ref="O212:O243">G212-N212</f>
        <v>0</v>
      </c>
      <c r="P212" s="228">
        <f t="shared" si="34"/>
        <v>0</v>
      </c>
      <c r="Q212" s="228"/>
      <c r="R212" s="228"/>
      <c r="S212" s="167"/>
      <c r="T212" s="167"/>
      <c r="U212" s="167"/>
    </row>
    <row r="213" spans="1:21" ht="12.75">
      <c r="A213" s="367">
        <f t="shared" si="30"/>
        <v>196</v>
      </c>
      <c r="B213" s="368"/>
      <c r="C213" s="368"/>
      <c r="D213" s="379" t="s">
        <v>154</v>
      </c>
      <c r="E213" s="66" t="s">
        <v>183</v>
      </c>
      <c r="F213" s="375"/>
      <c r="G213" s="50">
        <f t="shared" si="36"/>
        <v>97.33</v>
      </c>
      <c r="H213" s="375">
        <v>0</v>
      </c>
      <c r="I213" s="375">
        <v>72</v>
      </c>
      <c r="J213" s="375">
        <f>50-M213</f>
        <v>25.33</v>
      </c>
      <c r="K213" s="375"/>
      <c r="L213" s="21"/>
      <c r="M213" s="21">
        <v>24.67</v>
      </c>
      <c r="N213" s="229">
        <f>399.45-302.74</f>
        <v>96.70999999999998</v>
      </c>
      <c r="O213" s="30">
        <f t="shared" si="37"/>
        <v>0.6200000000000188</v>
      </c>
      <c r="P213" s="228">
        <f t="shared" si="34"/>
        <v>97.33</v>
      </c>
      <c r="Q213" s="228"/>
      <c r="R213" s="228"/>
      <c r="S213" s="167"/>
      <c r="T213" s="167"/>
      <c r="U213" s="167"/>
    </row>
    <row r="214" spans="1:21" ht="12.75">
      <c r="A214" s="367">
        <f t="shared" si="30"/>
        <v>197</v>
      </c>
      <c r="B214" s="368"/>
      <c r="C214" s="368"/>
      <c r="D214" s="379" t="s">
        <v>157</v>
      </c>
      <c r="E214" s="66" t="s">
        <v>184</v>
      </c>
      <c r="F214" s="375"/>
      <c r="G214" s="50">
        <f t="shared" si="36"/>
        <v>0</v>
      </c>
      <c r="H214" s="375">
        <v>0</v>
      </c>
      <c r="I214" s="375">
        <v>0</v>
      </c>
      <c r="J214" s="375">
        <v>0</v>
      </c>
      <c r="K214" s="375"/>
      <c r="L214" s="21"/>
      <c r="M214" s="21">
        <v>0</v>
      </c>
      <c r="N214" s="229">
        <v>0</v>
      </c>
      <c r="O214" s="30">
        <f t="shared" si="37"/>
        <v>0</v>
      </c>
      <c r="P214" s="228">
        <f t="shared" si="34"/>
        <v>0</v>
      </c>
      <c r="Q214" s="228"/>
      <c r="R214" s="228"/>
      <c r="S214" s="167"/>
      <c r="T214" s="167"/>
      <c r="U214" s="167"/>
    </row>
    <row r="215" spans="1:21" ht="12.75">
      <c r="A215" s="367">
        <f t="shared" si="30"/>
        <v>198</v>
      </c>
      <c r="B215" s="368">
        <v>20</v>
      </c>
      <c r="C215" s="368"/>
      <c r="D215" s="369"/>
      <c r="E215" s="85" t="s">
        <v>270</v>
      </c>
      <c r="F215" s="49">
        <f>+F216+F227+F228+F231+F236+F243+F244+F245+F246+F247+F248+F249+F251+F240</f>
        <v>0</v>
      </c>
      <c r="G215" s="50">
        <f t="shared" si="36"/>
        <v>17513.54</v>
      </c>
      <c r="H215" s="49">
        <f>+H216+H227+H228+H231+H236+H243+H244+H245+H246+H247+H248+H249+H251+H240</f>
        <v>9485.540000000003</v>
      </c>
      <c r="I215" s="49">
        <f>+I216+I227+I228+I231+I236+I243+I244+I245+I246+I247+I248+I249+I251+I240</f>
        <v>7784.8099999999995</v>
      </c>
      <c r="J215" s="49">
        <f>+J216+J227+J228+J231+J236+J243+J244+J245+J246+J247+J248+J249+J251+J240</f>
        <v>243.19</v>
      </c>
      <c r="K215" s="124">
        <f>+K216+K227+K228+K231+K236+K243+K244+K245+K246+K247+K248+K249+K251+K240</f>
        <v>0</v>
      </c>
      <c r="L215" s="21"/>
      <c r="M215" s="124">
        <f>+M216+M227+M228+M231+M236+M243+M244+M245+M246+M247+M248+M249+M251+M240</f>
        <v>4022.0099999999993</v>
      </c>
      <c r="N215" s="229">
        <f>21783.72-1481.17</f>
        <v>20302.550000000003</v>
      </c>
      <c r="O215" s="30">
        <f t="shared" si="37"/>
        <v>-2789.010000000002</v>
      </c>
      <c r="P215" s="228">
        <f t="shared" si="34"/>
        <v>17513.54</v>
      </c>
      <c r="Q215" s="228"/>
      <c r="R215" s="228"/>
      <c r="S215" s="167"/>
      <c r="T215" s="167"/>
      <c r="U215" s="167"/>
    </row>
    <row r="216" spans="1:21" ht="12.75">
      <c r="A216" s="367">
        <f t="shared" si="30"/>
        <v>199</v>
      </c>
      <c r="B216" s="368"/>
      <c r="C216" s="377" t="s">
        <v>47</v>
      </c>
      <c r="D216" s="369"/>
      <c r="E216" s="85" t="s">
        <v>130</v>
      </c>
      <c r="F216" s="49">
        <f>+F217+F218+F219+F220+F221+F222+F223+F224+F225+F226</f>
        <v>0</v>
      </c>
      <c r="G216" s="50">
        <f t="shared" si="36"/>
        <v>5241.299999999999</v>
      </c>
      <c r="H216" s="49">
        <f>+H217+H218+H219+H220+H221+H222+H223+H224+H225+H226</f>
        <v>2720.1499999999996</v>
      </c>
      <c r="I216" s="49">
        <f>+I217+I218+I219+I220+I221+I222+I223+I224+I225+I226</f>
        <v>2521.1499999999996</v>
      </c>
      <c r="J216" s="49">
        <f>+J217+J218+J219+J220+J221+J222+J223+J224+J225+J226</f>
        <v>0</v>
      </c>
      <c r="K216" s="124">
        <f>+K217+K218+K219+K220+K221+K222+K223+K224+K225+K226</f>
        <v>0</v>
      </c>
      <c r="L216" s="21"/>
      <c r="M216" s="124">
        <f>+M217+M218+M219+M220+M221+M222+M223+M224+M225+M226</f>
        <v>508.23999999999995</v>
      </c>
      <c r="N216" s="229">
        <f>6735.05-1448.33</f>
        <v>5286.72</v>
      </c>
      <c r="O216" s="30">
        <f t="shared" si="37"/>
        <v>-45.42000000000098</v>
      </c>
      <c r="P216" s="228">
        <f t="shared" si="34"/>
        <v>5241.299999999999</v>
      </c>
      <c r="Q216" s="228"/>
      <c r="R216" s="228"/>
      <c r="S216" s="167"/>
      <c r="T216" s="167"/>
      <c r="U216" s="167"/>
    </row>
    <row r="217" spans="1:21" ht="12.75">
      <c r="A217" s="367">
        <f t="shared" si="30"/>
        <v>200</v>
      </c>
      <c r="B217" s="368"/>
      <c r="C217" s="368"/>
      <c r="D217" s="379" t="s">
        <v>47</v>
      </c>
      <c r="E217" s="66" t="s">
        <v>186</v>
      </c>
      <c r="F217" s="375"/>
      <c r="G217" s="50">
        <f t="shared" si="36"/>
        <v>138.04</v>
      </c>
      <c r="H217" s="375">
        <v>69.02</v>
      </c>
      <c r="I217" s="375">
        <v>69.02</v>
      </c>
      <c r="J217" s="375">
        <f>23-M217</f>
        <v>0</v>
      </c>
      <c r="K217" s="375"/>
      <c r="L217" s="21"/>
      <c r="M217" s="21">
        <v>23</v>
      </c>
      <c r="N217" s="229">
        <f>156.84</f>
        <v>156.84</v>
      </c>
      <c r="O217" s="30">
        <f t="shared" si="37"/>
        <v>-18.80000000000001</v>
      </c>
      <c r="P217" s="228">
        <f t="shared" si="34"/>
        <v>138.04</v>
      </c>
      <c r="Q217" s="228"/>
      <c r="R217" s="228"/>
      <c r="S217" s="167"/>
      <c r="T217" s="167"/>
      <c r="U217" s="167"/>
    </row>
    <row r="218" spans="1:21" ht="12.75">
      <c r="A218" s="367">
        <f t="shared" si="30"/>
        <v>201</v>
      </c>
      <c r="B218" s="368"/>
      <c r="C218" s="368"/>
      <c r="D218" s="379" t="s">
        <v>80</v>
      </c>
      <c r="E218" s="66" t="s">
        <v>187</v>
      </c>
      <c r="F218" s="375"/>
      <c r="G218" s="50">
        <f t="shared" si="36"/>
        <v>132.60000000000002</v>
      </c>
      <c r="H218" s="375">
        <f>88.12-29.82</f>
        <v>58.300000000000004</v>
      </c>
      <c r="I218" s="375">
        <f>88.12-29.82+7+9</f>
        <v>74.30000000000001</v>
      </c>
      <c r="J218" s="375">
        <f>19-M218</f>
        <v>0</v>
      </c>
      <c r="K218" s="375"/>
      <c r="L218" s="21"/>
      <c r="M218" s="21">
        <v>19</v>
      </c>
      <c r="N218" s="229">
        <f>211.68-60.84</f>
        <v>150.84</v>
      </c>
      <c r="O218" s="30">
        <f t="shared" si="37"/>
        <v>-18.23999999999998</v>
      </c>
      <c r="P218" s="228">
        <f t="shared" si="34"/>
        <v>132.60000000000002</v>
      </c>
      <c r="Q218" s="228"/>
      <c r="R218" s="228"/>
      <c r="S218" s="167"/>
      <c r="T218" s="167"/>
      <c r="U218" s="167"/>
    </row>
    <row r="219" spans="1:21" ht="12.75">
      <c r="A219" s="367">
        <f t="shared" si="30"/>
        <v>202</v>
      </c>
      <c r="B219" s="368"/>
      <c r="C219" s="368"/>
      <c r="D219" s="379" t="s">
        <v>84</v>
      </c>
      <c r="E219" s="66" t="s">
        <v>188</v>
      </c>
      <c r="F219" s="375"/>
      <c r="G219" s="50">
        <f t="shared" si="36"/>
        <v>1572.76</v>
      </c>
      <c r="H219" s="375">
        <f>918.73-87.7+1.85</f>
        <v>832.88</v>
      </c>
      <c r="I219" s="375">
        <f>918.73-87.7+1.85-200+107</f>
        <v>739.88</v>
      </c>
      <c r="J219" s="375">
        <f>126-M219</f>
        <v>0</v>
      </c>
      <c r="K219" s="375"/>
      <c r="L219" s="21"/>
      <c r="M219" s="21">
        <v>126</v>
      </c>
      <c r="N219" s="229">
        <f>1793.67-195.81</f>
        <v>1597.8600000000001</v>
      </c>
      <c r="O219" s="30">
        <f t="shared" si="37"/>
        <v>-25.100000000000136</v>
      </c>
      <c r="P219" s="228">
        <f t="shared" si="34"/>
        <v>1572.76</v>
      </c>
      <c r="Q219" s="228"/>
      <c r="R219" s="228"/>
      <c r="S219" s="167"/>
      <c r="T219" s="167"/>
      <c r="U219" s="167"/>
    </row>
    <row r="220" spans="1:21" ht="12.75">
      <c r="A220" s="367">
        <f t="shared" si="30"/>
        <v>203</v>
      </c>
      <c r="B220" s="368"/>
      <c r="C220" s="368"/>
      <c r="D220" s="379" t="s">
        <v>108</v>
      </c>
      <c r="E220" s="66" t="s">
        <v>189</v>
      </c>
      <c r="F220" s="375"/>
      <c r="G220" s="50">
        <f t="shared" si="36"/>
        <v>731.24</v>
      </c>
      <c r="H220" s="375">
        <v>428.12</v>
      </c>
      <c r="I220" s="375">
        <f>268.12+35</f>
        <v>303.12</v>
      </c>
      <c r="J220" s="375">
        <f>147-M220</f>
        <v>0</v>
      </c>
      <c r="K220" s="375"/>
      <c r="L220" s="21"/>
      <c r="M220" s="21">
        <v>147</v>
      </c>
      <c r="N220" s="229">
        <v>773.24</v>
      </c>
      <c r="O220" s="30">
        <f t="shared" si="37"/>
        <v>-42</v>
      </c>
      <c r="P220" s="228">
        <f t="shared" si="34"/>
        <v>731.24</v>
      </c>
      <c r="Q220" s="228"/>
      <c r="R220" s="228"/>
      <c r="S220" s="167"/>
      <c r="T220" s="167"/>
      <c r="U220" s="167"/>
    </row>
    <row r="221" spans="1:21" ht="12.75">
      <c r="A221" s="367">
        <f t="shared" si="30"/>
        <v>204</v>
      </c>
      <c r="B221" s="368"/>
      <c r="C221" s="368"/>
      <c r="D221" s="379" t="s">
        <v>41</v>
      </c>
      <c r="E221" s="66" t="s">
        <v>190</v>
      </c>
      <c r="F221" s="375"/>
      <c r="G221" s="50">
        <f t="shared" si="36"/>
        <v>50</v>
      </c>
      <c r="H221" s="375">
        <v>25</v>
      </c>
      <c r="I221" s="375">
        <v>25</v>
      </c>
      <c r="J221" s="375">
        <f>8.3-M221</f>
        <v>0</v>
      </c>
      <c r="K221" s="375"/>
      <c r="L221" s="21"/>
      <c r="M221" s="21">
        <v>8.299999999999997</v>
      </c>
      <c r="N221" s="229">
        <v>50</v>
      </c>
      <c r="O221" s="30">
        <f t="shared" si="37"/>
        <v>0</v>
      </c>
      <c r="P221" s="228">
        <f t="shared" si="34"/>
        <v>50</v>
      </c>
      <c r="Q221" s="228"/>
      <c r="R221" s="228"/>
      <c r="S221" s="167"/>
      <c r="T221" s="167"/>
      <c r="U221" s="167"/>
    </row>
    <row r="222" spans="1:21" ht="12.75">
      <c r="A222" s="367">
        <f t="shared" si="30"/>
        <v>205</v>
      </c>
      <c r="B222" s="368"/>
      <c r="C222" s="368"/>
      <c r="D222" s="379" t="s">
        <v>154</v>
      </c>
      <c r="E222" s="66" t="s">
        <v>191</v>
      </c>
      <c r="F222" s="375"/>
      <c r="G222" s="50">
        <f t="shared" si="36"/>
        <v>337.1</v>
      </c>
      <c r="H222" s="375">
        <v>188.55</v>
      </c>
      <c r="I222" s="375">
        <f>108.55+40</f>
        <v>148.55</v>
      </c>
      <c r="J222" s="375">
        <f>62.4-M222</f>
        <v>0</v>
      </c>
      <c r="K222" s="375"/>
      <c r="L222" s="21"/>
      <c r="M222" s="21">
        <v>62.4</v>
      </c>
      <c r="N222" s="229">
        <v>398.4</v>
      </c>
      <c r="O222" s="30">
        <f t="shared" si="37"/>
        <v>-61.299999999999955</v>
      </c>
      <c r="P222" s="228">
        <f t="shared" si="34"/>
        <v>337.1</v>
      </c>
      <c r="Q222" s="228"/>
      <c r="R222" s="228"/>
      <c r="S222" s="167"/>
      <c r="T222" s="167"/>
      <c r="U222" s="167"/>
    </row>
    <row r="223" spans="1:21" ht="12.75">
      <c r="A223" s="367">
        <f t="shared" si="30"/>
        <v>206</v>
      </c>
      <c r="B223" s="368"/>
      <c r="C223" s="368"/>
      <c r="D223" s="379" t="s">
        <v>157</v>
      </c>
      <c r="E223" s="66" t="s">
        <v>192</v>
      </c>
      <c r="F223" s="375"/>
      <c r="G223" s="50">
        <f t="shared" si="36"/>
        <v>138.62</v>
      </c>
      <c r="H223" s="375">
        <v>79.31</v>
      </c>
      <c r="I223" s="375">
        <v>59.31</v>
      </c>
      <c r="J223" s="375">
        <f>27.56-M223</f>
        <v>0</v>
      </c>
      <c r="K223" s="375"/>
      <c r="L223" s="21"/>
      <c r="M223" s="21">
        <v>27.56</v>
      </c>
      <c r="N223" s="229">
        <v>162.14</v>
      </c>
      <c r="O223" s="30">
        <f t="shared" si="37"/>
        <v>-23.519999999999982</v>
      </c>
      <c r="P223" s="228">
        <f t="shared" si="34"/>
        <v>138.62</v>
      </c>
      <c r="Q223" s="228"/>
      <c r="R223" s="228"/>
      <c r="S223" s="167"/>
      <c r="T223" s="167"/>
      <c r="U223" s="167"/>
    </row>
    <row r="224" spans="1:21" ht="12.75">
      <c r="A224" s="367">
        <f t="shared" si="30"/>
        <v>207</v>
      </c>
      <c r="B224" s="368"/>
      <c r="C224" s="368"/>
      <c r="D224" s="379" t="s">
        <v>65</v>
      </c>
      <c r="E224" s="66" t="s">
        <v>193</v>
      </c>
      <c r="F224" s="375"/>
      <c r="G224" s="50">
        <f t="shared" si="36"/>
        <v>166.01999999999998</v>
      </c>
      <c r="H224" s="375">
        <f>153.57-15.56</f>
        <v>138.01</v>
      </c>
      <c r="I224" s="375">
        <f>153.57-15.56-110</f>
        <v>28.00999999999999</v>
      </c>
      <c r="J224" s="375">
        <v>0</v>
      </c>
      <c r="K224" s="375"/>
      <c r="L224" s="21"/>
      <c r="M224" s="21">
        <v>47.25</v>
      </c>
      <c r="N224" s="229">
        <f>226.48-16.47</f>
        <v>210.01</v>
      </c>
      <c r="O224" s="30">
        <f t="shared" si="37"/>
        <v>-43.99000000000001</v>
      </c>
      <c r="P224" s="228">
        <f t="shared" si="34"/>
        <v>166.01999999999998</v>
      </c>
      <c r="Q224" s="228"/>
      <c r="R224" s="228"/>
      <c r="S224" s="167"/>
      <c r="T224" s="167"/>
      <c r="U224" s="167"/>
    </row>
    <row r="225" spans="1:21" ht="12.75">
      <c r="A225" s="367">
        <f t="shared" si="30"/>
        <v>208</v>
      </c>
      <c r="B225" s="368"/>
      <c r="C225" s="368"/>
      <c r="D225" s="379" t="s">
        <v>160</v>
      </c>
      <c r="E225" s="66" t="s">
        <v>194</v>
      </c>
      <c r="F225" s="375"/>
      <c r="G225" s="50">
        <f t="shared" si="36"/>
        <v>81.56</v>
      </c>
      <c r="H225" s="375">
        <v>45.78</v>
      </c>
      <c r="I225" s="375">
        <v>35.78</v>
      </c>
      <c r="J225" s="375">
        <f>15.09-M225</f>
        <v>0</v>
      </c>
      <c r="K225" s="375"/>
      <c r="L225" s="21"/>
      <c r="M225" s="21">
        <v>15.09</v>
      </c>
      <c r="N225" s="229">
        <f>87.4-0.3</f>
        <v>87.10000000000001</v>
      </c>
      <c r="O225" s="30">
        <f t="shared" si="37"/>
        <v>-5.540000000000006</v>
      </c>
      <c r="P225" s="228">
        <f t="shared" si="34"/>
        <v>81.56</v>
      </c>
      <c r="Q225" s="228"/>
      <c r="R225" s="228"/>
      <c r="S225" s="167"/>
      <c r="T225" s="167"/>
      <c r="U225" s="167"/>
    </row>
    <row r="226" spans="1:21" ht="12.75">
      <c r="A226" s="367">
        <f t="shared" si="30"/>
        <v>209</v>
      </c>
      <c r="B226" s="368"/>
      <c r="C226" s="368"/>
      <c r="D226" s="369">
        <v>30</v>
      </c>
      <c r="E226" s="66" t="s">
        <v>271</v>
      </c>
      <c r="F226" s="375"/>
      <c r="G226" s="50">
        <f t="shared" si="36"/>
        <v>1893.3599999999997</v>
      </c>
      <c r="H226" s="375">
        <f>1359.84-504.66</f>
        <v>855.1799999999998</v>
      </c>
      <c r="I226" s="375">
        <f>1359.84-504.66-350+233+300</f>
        <v>1038.1799999999998</v>
      </c>
      <c r="J226" s="478">
        <v>0</v>
      </c>
      <c r="K226" s="375"/>
      <c r="L226" s="21"/>
      <c r="M226" s="21">
        <v>32.64</v>
      </c>
      <c r="N226" s="229">
        <f>2875.2-1174.91</f>
        <v>1700.2899999999997</v>
      </c>
      <c r="O226" s="30">
        <f t="shared" si="37"/>
        <v>193.06999999999994</v>
      </c>
      <c r="P226" s="228">
        <f t="shared" si="34"/>
        <v>1893.3599999999997</v>
      </c>
      <c r="Q226" s="228"/>
      <c r="R226" s="228"/>
      <c r="S226" s="167"/>
      <c r="T226" s="167"/>
      <c r="U226" s="167"/>
    </row>
    <row r="227" spans="1:21" ht="12.75">
      <c r="A227" s="367">
        <f t="shared" si="30"/>
        <v>210</v>
      </c>
      <c r="B227" s="368"/>
      <c r="C227" s="377" t="s">
        <v>80</v>
      </c>
      <c r="D227" s="86"/>
      <c r="E227" s="59" t="s">
        <v>196</v>
      </c>
      <c r="F227" s="375"/>
      <c r="G227" s="50">
        <f t="shared" si="36"/>
        <v>170.88</v>
      </c>
      <c r="H227" s="422">
        <v>94.94</v>
      </c>
      <c r="I227" s="422">
        <v>44.94</v>
      </c>
      <c r="J227" s="422">
        <f>31-M227</f>
        <v>31</v>
      </c>
      <c r="K227" s="422"/>
      <c r="L227" s="21"/>
      <c r="M227" s="21">
        <v>0</v>
      </c>
      <c r="N227" s="229">
        <f>165.44-1.01</f>
        <v>164.43</v>
      </c>
      <c r="O227" s="30">
        <f t="shared" si="37"/>
        <v>6.449999999999989</v>
      </c>
      <c r="P227" s="228">
        <f t="shared" si="34"/>
        <v>170.88</v>
      </c>
      <c r="Q227" s="228"/>
      <c r="R227" s="228"/>
      <c r="S227" s="167"/>
      <c r="T227" s="167"/>
      <c r="U227" s="167"/>
    </row>
    <row r="228" spans="1:21" ht="12.75">
      <c r="A228" s="367">
        <f t="shared" si="30"/>
        <v>211</v>
      </c>
      <c r="B228" s="368"/>
      <c r="C228" s="377" t="s">
        <v>84</v>
      </c>
      <c r="D228" s="86"/>
      <c r="E228" s="59" t="s">
        <v>197</v>
      </c>
      <c r="F228" s="49">
        <f>+F229+F230</f>
        <v>0</v>
      </c>
      <c r="G228" s="50">
        <f t="shared" si="36"/>
        <v>1218.0900000000001</v>
      </c>
      <c r="H228" s="49">
        <f>+H229+H230</f>
        <v>414.45000000000005</v>
      </c>
      <c r="I228" s="49">
        <f>+I229+I230</f>
        <v>614.45</v>
      </c>
      <c r="J228" s="49">
        <f>+J229+J230</f>
        <v>189.19</v>
      </c>
      <c r="K228" s="124">
        <f>+K229+K230</f>
        <v>0</v>
      </c>
      <c r="L228" s="21"/>
      <c r="M228" s="124">
        <f>+M229+M230</f>
        <v>350.81</v>
      </c>
      <c r="N228" s="229">
        <v>1267.86</v>
      </c>
      <c r="O228" s="30">
        <f t="shared" si="37"/>
        <v>-49.769999999999754</v>
      </c>
      <c r="P228" s="228">
        <f t="shared" si="34"/>
        <v>1218.0900000000001</v>
      </c>
      <c r="Q228" s="228"/>
      <c r="R228" s="228"/>
      <c r="S228" s="167"/>
      <c r="T228" s="167"/>
      <c r="U228" s="167"/>
    </row>
    <row r="229" spans="1:21" ht="12.75">
      <c r="A229" s="367">
        <f t="shared" si="30"/>
        <v>212</v>
      </c>
      <c r="B229" s="368"/>
      <c r="C229" s="368"/>
      <c r="D229" s="379" t="s">
        <v>47</v>
      </c>
      <c r="E229" s="66" t="s">
        <v>198</v>
      </c>
      <c r="F229" s="375"/>
      <c r="G229" s="50">
        <f t="shared" si="36"/>
        <v>1218.0900000000001</v>
      </c>
      <c r="H229" s="375">
        <f>863.59-449.14</f>
        <v>414.45000000000005</v>
      </c>
      <c r="I229" s="375">
        <f>863.59-449.14+200</f>
        <v>614.45</v>
      </c>
      <c r="J229" s="375">
        <f>540-M229</f>
        <v>189.19</v>
      </c>
      <c r="K229" s="375"/>
      <c r="L229" s="21"/>
      <c r="M229" s="21">
        <v>350.81</v>
      </c>
      <c r="N229" s="229">
        <v>1267.86</v>
      </c>
      <c r="O229" s="30">
        <f t="shared" si="37"/>
        <v>-49.769999999999754</v>
      </c>
      <c r="P229" s="228">
        <f t="shared" si="34"/>
        <v>1218.0900000000001</v>
      </c>
      <c r="Q229" s="228"/>
      <c r="R229" s="228"/>
      <c r="S229" s="167"/>
      <c r="T229" s="167"/>
      <c r="U229" s="167"/>
    </row>
    <row r="230" spans="1:21" ht="12.75">
      <c r="A230" s="367">
        <f t="shared" si="30"/>
        <v>213</v>
      </c>
      <c r="B230" s="368"/>
      <c r="C230" s="368"/>
      <c r="D230" s="379" t="s">
        <v>80</v>
      </c>
      <c r="E230" s="66" t="s">
        <v>199</v>
      </c>
      <c r="F230" s="375"/>
      <c r="G230" s="50">
        <f t="shared" si="36"/>
        <v>0</v>
      </c>
      <c r="H230" s="375">
        <v>0</v>
      </c>
      <c r="I230" s="375">
        <v>0</v>
      </c>
      <c r="J230" s="375">
        <v>0</v>
      </c>
      <c r="K230" s="375"/>
      <c r="L230" s="21"/>
      <c r="M230" s="21">
        <v>0</v>
      </c>
      <c r="N230" s="229"/>
      <c r="O230" s="30">
        <f t="shared" si="37"/>
        <v>0</v>
      </c>
      <c r="P230" s="228">
        <f t="shared" si="34"/>
        <v>0</v>
      </c>
      <c r="Q230" s="228"/>
      <c r="R230" s="228"/>
      <c r="S230" s="167"/>
      <c r="T230" s="167"/>
      <c r="U230" s="167"/>
    </row>
    <row r="231" spans="1:21" ht="12.75">
      <c r="A231" s="367">
        <f aca="true" t="shared" si="38" ref="A231:A294">A230+1</f>
        <v>214</v>
      </c>
      <c r="B231" s="368"/>
      <c r="C231" s="377" t="s">
        <v>108</v>
      </c>
      <c r="D231" s="369"/>
      <c r="E231" s="59" t="s">
        <v>200</v>
      </c>
      <c r="F231" s="49">
        <f>+F232+F233+F234+F235</f>
        <v>0</v>
      </c>
      <c r="G231" s="50">
        <f t="shared" si="36"/>
        <v>10293.220000000001</v>
      </c>
      <c r="H231" s="49">
        <f>+H232+H233+H234+H235</f>
        <v>5823.510000000001</v>
      </c>
      <c r="I231" s="49">
        <f>+I232+I233+I234+I235</f>
        <v>4469.71</v>
      </c>
      <c r="J231" s="49">
        <f>+J232+J233+J234+J235</f>
        <v>0</v>
      </c>
      <c r="K231" s="124">
        <f>+K232+K233+K234+K235</f>
        <v>0</v>
      </c>
      <c r="L231" s="21"/>
      <c r="M231" s="124">
        <f>+M232+M233+M234+M235</f>
        <v>2862.8299999999995</v>
      </c>
      <c r="N231" s="229">
        <f>12748.2-14.3</f>
        <v>12733.900000000001</v>
      </c>
      <c r="O231" s="30">
        <f t="shared" si="37"/>
        <v>-2440.6800000000003</v>
      </c>
      <c r="P231" s="228">
        <f t="shared" si="34"/>
        <v>10293.220000000001</v>
      </c>
      <c r="Q231" s="228"/>
      <c r="R231" s="228"/>
      <c r="S231" s="167"/>
      <c r="T231" s="167"/>
      <c r="U231" s="167"/>
    </row>
    <row r="232" spans="1:21" ht="12.75">
      <c r="A232" s="367">
        <f t="shared" si="38"/>
        <v>215</v>
      </c>
      <c r="B232" s="368"/>
      <c r="C232" s="368"/>
      <c r="D232" s="379" t="s">
        <v>47</v>
      </c>
      <c r="E232" s="66" t="s">
        <v>201</v>
      </c>
      <c r="F232" s="375"/>
      <c r="G232" s="50">
        <f t="shared" si="36"/>
        <v>5557.79</v>
      </c>
      <c r="H232" s="375">
        <f>3005.41+848.76-1000-402.47</f>
        <v>2451.7</v>
      </c>
      <c r="I232" s="375">
        <f>3005.41+848.76-1000-200+100+402.47-0.55-50</f>
        <v>3106.09</v>
      </c>
      <c r="J232" s="375">
        <f>2342.1-M232</f>
        <v>0</v>
      </c>
      <c r="K232" s="375"/>
      <c r="L232" s="21"/>
      <c r="M232" s="21">
        <v>2342.1</v>
      </c>
      <c r="N232" s="229">
        <f>7789.13-8.67</f>
        <v>7780.46</v>
      </c>
      <c r="O232" s="30">
        <f t="shared" si="37"/>
        <v>-2222.67</v>
      </c>
      <c r="P232" s="228">
        <f t="shared" si="34"/>
        <v>5557.79</v>
      </c>
      <c r="Q232" s="228"/>
      <c r="R232" s="228"/>
      <c r="S232" s="167"/>
      <c r="T232" s="167"/>
      <c r="U232" s="167"/>
    </row>
    <row r="233" spans="1:21" ht="12.75">
      <c r="A233" s="367">
        <f t="shared" si="38"/>
        <v>216</v>
      </c>
      <c r="B233" s="368"/>
      <c r="C233" s="368"/>
      <c r="D233" s="379" t="s">
        <v>80</v>
      </c>
      <c r="E233" s="66" t="s">
        <v>202</v>
      </c>
      <c r="F233" s="375"/>
      <c r="G233" s="50">
        <f t="shared" si="36"/>
        <v>3343.61</v>
      </c>
      <c r="H233" s="375">
        <f>1126.8+200+639.1+520</f>
        <v>2485.9</v>
      </c>
      <c r="I233" s="375">
        <f>1057.71-300+100</f>
        <v>857.71</v>
      </c>
      <c r="J233" s="375">
        <f>328.66-M233</f>
        <v>0</v>
      </c>
      <c r="K233" s="375"/>
      <c r="L233" s="21"/>
      <c r="M233" s="21">
        <v>328.66</v>
      </c>
      <c r="N233" s="229">
        <v>3496.93</v>
      </c>
      <c r="O233" s="30">
        <f t="shared" si="37"/>
        <v>-153.3199999999997</v>
      </c>
      <c r="P233" s="228">
        <f t="shared" si="34"/>
        <v>3343.61</v>
      </c>
      <c r="Q233" s="228"/>
      <c r="R233" s="228"/>
      <c r="S233" s="167"/>
      <c r="T233" s="167"/>
      <c r="U233" s="167"/>
    </row>
    <row r="234" spans="1:21" ht="12.75">
      <c r="A234" s="367">
        <f t="shared" si="38"/>
        <v>217</v>
      </c>
      <c r="B234" s="368"/>
      <c r="C234" s="368"/>
      <c r="D234" s="379" t="s">
        <v>84</v>
      </c>
      <c r="E234" s="66" t="s">
        <v>203</v>
      </c>
      <c r="F234" s="375"/>
      <c r="G234" s="50">
        <f t="shared" si="36"/>
        <v>1058.54</v>
      </c>
      <c r="H234" s="375">
        <v>719.27</v>
      </c>
      <c r="I234" s="375">
        <v>339.27</v>
      </c>
      <c r="J234" s="375">
        <f>95.87-M234</f>
        <v>0</v>
      </c>
      <c r="K234" s="375"/>
      <c r="L234" s="21"/>
      <c r="M234" s="21">
        <v>95.87</v>
      </c>
      <c r="N234" s="229">
        <f>1102.04-5.63</f>
        <v>1096.4099999999999</v>
      </c>
      <c r="O234" s="30">
        <f t="shared" si="37"/>
        <v>-37.86999999999989</v>
      </c>
      <c r="P234" s="228">
        <f t="shared" si="34"/>
        <v>1058.54</v>
      </c>
      <c r="Q234" s="228"/>
      <c r="R234" s="228"/>
      <c r="S234" s="167"/>
      <c r="T234" s="167"/>
      <c r="U234" s="167"/>
    </row>
    <row r="235" spans="1:21" ht="12.75">
      <c r="A235" s="367">
        <f t="shared" si="38"/>
        <v>218</v>
      </c>
      <c r="B235" s="368"/>
      <c r="C235" s="368"/>
      <c r="D235" s="379" t="s">
        <v>108</v>
      </c>
      <c r="E235" s="66" t="s">
        <v>204</v>
      </c>
      <c r="F235" s="375"/>
      <c r="G235" s="50">
        <f t="shared" si="36"/>
        <v>333.28</v>
      </c>
      <c r="H235" s="375">
        <v>166.64</v>
      </c>
      <c r="I235" s="375">
        <v>166.64</v>
      </c>
      <c r="J235" s="375">
        <f>96.2-M235</f>
        <v>0</v>
      </c>
      <c r="K235" s="375"/>
      <c r="L235" s="21"/>
      <c r="M235" s="21">
        <v>96.2</v>
      </c>
      <c r="N235" s="229">
        <v>360.1</v>
      </c>
      <c r="O235" s="30">
        <f t="shared" si="37"/>
        <v>-26.82000000000005</v>
      </c>
      <c r="P235" s="228">
        <f t="shared" si="34"/>
        <v>333.28</v>
      </c>
      <c r="Q235" s="228"/>
      <c r="R235" s="228"/>
      <c r="S235" s="167"/>
      <c r="T235" s="167"/>
      <c r="U235" s="167"/>
    </row>
    <row r="236" spans="1:21" ht="12.75">
      <c r="A236" s="367">
        <f t="shared" si="38"/>
        <v>219</v>
      </c>
      <c r="B236" s="368"/>
      <c r="C236" s="377" t="s">
        <v>41</v>
      </c>
      <c r="D236" s="369"/>
      <c r="E236" s="85" t="s">
        <v>205</v>
      </c>
      <c r="F236" s="49">
        <f>+F237+F238+F239</f>
        <v>0</v>
      </c>
      <c r="G236" s="50">
        <f t="shared" si="36"/>
        <v>353.70000000000005</v>
      </c>
      <c r="H236" s="49">
        <f>+H237+H238+H239</f>
        <v>338.79</v>
      </c>
      <c r="I236" s="49">
        <f>+I237+I238+I239</f>
        <v>14.91</v>
      </c>
      <c r="J236" s="49">
        <f>+J237+J238+J239</f>
        <v>0</v>
      </c>
      <c r="K236" s="124">
        <f>+K237+K238+K239</f>
        <v>0</v>
      </c>
      <c r="L236" s="21"/>
      <c r="M236" s="124">
        <f>+M237+M238+M239</f>
        <v>264.47</v>
      </c>
      <c r="N236" s="229">
        <v>601.7</v>
      </c>
      <c r="O236" s="30">
        <f t="shared" si="37"/>
        <v>-248</v>
      </c>
      <c r="P236" s="228">
        <f t="shared" si="34"/>
        <v>353.70000000000005</v>
      </c>
      <c r="Q236" s="228"/>
      <c r="R236" s="228"/>
      <c r="S236" s="167"/>
      <c r="T236" s="167"/>
      <c r="U236" s="167"/>
    </row>
    <row r="237" spans="1:21" ht="12.75">
      <c r="A237" s="367">
        <f t="shared" si="38"/>
        <v>220</v>
      </c>
      <c r="B237" s="368"/>
      <c r="C237" s="368"/>
      <c r="D237" s="379" t="s">
        <v>47</v>
      </c>
      <c r="E237" s="66" t="s">
        <v>206</v>
      </c>
      <c r="F237" s="375"/>
      <c r="G237" s="50">
        <f t="shared" si="36"/>
        <v>10.14</v>
      </c>
      <c r="H237" s="375">
        <v>1.57</v>
      </c>
      <c r="I237" s="375">
        <v>8.57</v>
      </c>
      <c r="J237" s="478">
        <v>0</v>
      </c>
      <c r="K237" s="375"/>
      <c r="L237" s="21"/>
      <c r="M237" s="21">
        <v>1.57</v>
      </c>
      <c r="N237" s="229">
        <v>9.75</v>
      </c>
      <c r="O237" s="30">
        <f t="shared" si="37"/>
        <v>0.39000000000000057</v>
      </c>
      <c r="P237" s="228">
        <f t="shared" si="34"/>
        <v>10.14</v>
      </c>
      <c r="Q237" s="228"/>
      <c r="R237" s="228"/>
      <c r="S237" s="167"/>
      <c r="T237" s="167"/>
      <c r="U237" s="167"/>
    </row>
    <row r="238" spans="1:21" ht="12.75">
      <c r="A238" s="367">
        <f t="shared" si="38"/>
        <v>221</v>
      </c>
      <c r="B238" s="368"/>
      <c r="C238" s="368"/>
      <c r="D238" s="379" t="s">
        <v>84</v>
      </c>
      <c r="E238" s="66" t="s">
        <v>207</v>
      </c>
      <c r="F238" s="375"/>
      <c r="G238" s="50">
        <f t="shared" si="36"/>
        <v>12.68</v>
      </c>
      <c r="H238" s="375">
        <v>6.34</v>
      </c>
      <c r="I238" s="375">
        <v>6.34</v>
      </c>
      <c r="J238" s="478">
        <v>0</v>
      </c>
      <c r="K238" s="375"/>
      <c r="L238" s="21"/>
      <c r="M238" s="21">
        <v>2.6</v>
      </c>
      <c r="N238" s="229">
        <v>7</v>
      </c>
      <c r="O238" s="30">
        <f t="shared" si="37"/>
        <v>5.68</v>
      </c>
      <c r="P238" s="228">
        <f t="shared" si="34"/>
        <v>12.68</v>
      </c>
      <c r="Q238" s="228"/>
      <c r="R238" s="228"/>
      <c r="S238" s="167"/>
      <c r="T238" s="167"/>
      <c r="U238" s="167"/>
    </row>
    <row r="239" spans="1:21" ht="12.75">
      <c r="A239" s="367">
        <f t="shared" si="38"/>
        <v>222</v>
      </c>
      <c r="B239" s="368"/>
      <c r="C239" s="368"/>
      <c r="D239" s="369">
        <v>30</v>
      </c>
      <c r="E239" s="66" t="s">
        <v>208</v>
      </c>
      <c r="F239" s="375"/>
      <c r="G239" s="50">
        <f t="shared" si="36"/>
        <v>330.88</v>
      </c>
      <c r="H239" s="375">
        <f>561.11+49.77-280</f>
        <v>330.88</v>
      </c>
      <c r="I239" s="375">
        <v>0</v>
      </c>
      <c r="J239" s="375">
        <f>260.3-M239</f>
        <v>0</v>
      </c>
      <c r="K239" s="375"/>
      <c r="L239" s="21"/>
      <c r="M239" s="21">
        <v>260.3</v>
      </c>
      <c r="N239" s="229">
        <v>584.95</v>
      </c>
      <c r="O239" s="30">
        <f t="shared" si="37"/>
        <v>-254.07000000000005</v>
      </c>
      <c r="P239" s="228">
        <f t="shared" si="34"/>
        <v>330.88</v>
      </c>
      <c r="Q239" s="228"/>
      <c r="R239" s="228"/>
      <c r="S239" s="167"/>
      <c r="T239" s="167"/>
      <c r="U239" s="167"/>
    </row>
    <row r="240" spans="1:21" ht="12.75">
      <c r="A240" s="367">
        <f t="shared" si="38"/>
        <v>223</v>
      </c>
      <c r="B240" s="368"/>
      <c r="C240" s="377" t="s">
        <v>154</v>
      </c>
      <c r="D240" s="369"/>
      <c r="E240" s="59" t="s">
        <v>209</v>
      </c>
      <c r="F240" s="49">
        <f>+F241+F242</f>
        <v>0</v>
      </c>
      <c r="G240" s="50">
        <f t="shared" si="36"/>
        <v>11.21</v>
      </c>
      <c r="H240" s="49">
        <f>+H241+H242</f>
        <v>6</v>
      </c>
      <c r="I240" s="49">
        <f>+I241+I242</f>
        <v>5.21</v>
      </c>
      <c r="J240" s="49">
        <f>+J241+J242</f>
        <v>0</v>
      </c>
      <c r="K240" s="124">
        <f>+K241+K242</f>
        <v>0</v>
      </c>
      <c r="L240" s="21"/>
      <c r="M240" s="124">
        <f>+M241+M242</f>
        <v>11.2</v>
      </c>
      <c r="N240" s="229">
        <f>17.87-2.48</f>
        <v>15.39</v>
      </c>
      <c r="O240" s="30">
        <f t="shared" si="37"/>
        <v>-4.18</v>
      </c>
      <c r="P240" s="228">
        <f t="shared" si="34"/>
        <v>11.21</v>
      </c>
      <c r="Q240" s="228"/>
      <c r="R240" s="228"/>
      <c r="S240" s="167"/>
      <c r="T240" s="167"/>
      <c r="U240" s="167"/>
    </row>
    <row r="241" spans="1:21" ht="12.75">
      <c r="A241" s="367">
        <f t="shared" si="38"/>
        <v>224</v>
      </c>
      <c r="B241" s="368"/>
      <c r="C241" s="368"/>
      <c r="D241" s="379" t="s">
        <v>47</v>
      </c>
      <c r="E241" s="78" t="s">
        <v>272</v>
      </c>
      <c r="F241" s="375"/>
      <c r="G241" s="50">
        <f t="shared" si="36"/>
        <v>4.79</v>
      </c>
      <c r="H241" s="375">
        <f>1.84+0.95</f>
        <v>2.79</v>
      </c>
      <c r="I241" s="375">
        <v>2</v>
      </c>
      <c r="J241" s="375">
        <f>10-M241</f>
        <v>0</v>
      </c>
      <c r="K241" s="375"/>
      <c r="L241" s="21"/>
      <c r="M241" s="21">
        <v>10</v>
      </c>
      <c r="N241" s="229">
        <f>14.67-2.48</f>
        <v>12.19</v>
      </c>
      <c r="O241" s="30">
        <f t="shared" si="37"/>
        <v>-7.3999999999999995</v>
      </c>
      <c r="P241" s="228">
        <f t="shared" si="34"/>
        <v>4.79</v>
      </c>
      <c r="Q241" s="228"/>
      <c r="R241" s="228"/>
      <c r="S241" s="167"/>
      <c r="T241" s="167"/>
      <c r="U241" s="167"/>
    </row>
    <row r="242" spans="1:21" ht="12.75">
      <c r="A242" s="367">
        <f t="shared" si="38"/>
        <v>225</v>
      </c>
      <c r="B242" s="368"/>
      <c r="C242" s="368"/>
      <c r="D242" s="379" t="s">
        <v>80</v>
      </c>
      <c r="E242" s="66" t="s">
        <v>211</v>
      </c>
      <c r="F242" s="375"/>
      <c r="G242" s="50">
        <f t="shared" si="36"/>
        <v>6.42</v>
      </c>
      <c r="H242" s="375">
        <v>3.21</v>
      </c>
      <c r="I242" s="375">
        <v>3.21</v>
      </c>
      <c r="J242" s="478">
        <v>0</v>
      </c>
      <c r="K242" s="375"/>
      <c r="L242" s="21"/>
      <c r="M242" s="21">
        <v>1.2</v>
      </c>
      <c r="N242" s="229">
        <v>3.21</v>
      </c>
      <c r="O242" s="30">
        <f t="shared" si="37"/>
        <v>3.21</v>
      </c>
      <c r="P242" s="228">
        <f t="shared" si="34"/>
        <v>6.42</v>
      </c>
      <c r="Q242" s="228"/>
      <c r="R242" s="228"/>
      <c r="S242" s="167"/>
      <c r="T242" s="167"/>
      <c r="U242" s="167"/>
    </row>
    <row r="243" spans="1:21" ht="12.75">
      <c r="A243" s="367">
        <f t="shared" si="38"/>
        <v>226</v>
      </c>
      <c r="B243" s="368"/>
      <c r="C243" s="377" t="s">
        <v>160</v>
      </c>
      <c r="D243" s="369"/>
      <c r="E243" s="85" t="s">
        <v>212</v>
      </c>
      <c r="F243" s="375"/>
      <c r="G243" s="50">
        <f t="shared" si="36"/>
        <v>143.34</v>
      </c>
      <c r="H243" s="375">
        <f>86.33-14.66</f>
        <v>71.67</v>
      </c>
      <c r="I243" s="375">
        <f>86.33-14.66</f>
        <v>71.67</v>
      </c>
      <c r="J243" s="375">
        <f>23.96-M243</f>
        <v>0</v>
      </c>
      <c r="K243" s="375"/>
      <c r="L243" s="21"/>
      <c r="M243" s="21">
        <v>23.96</v>
      </c>
      <c r="N243" s="229">
        <f>172.59-14.66</f>
        <v>157.93</v>
      </c>
      <c r="O243" s="30">
        <f t="shared" si="37"/>
        <v>-14.590000000000003</v>
      </c>
      <c r="P243" s="228">
        <f aca="true" t="shared" si="39" ref="P243:P258">N243+O243</f>
        <v>143.34</v>
      </c>
      <c r="Q243" s="228"/>
      <c r="R243" s="228"/>
      <c r="S243" s="167"/>
      <c r="T243" s="167"/>
      <c r="U243" s="167"/>
    </row>
    <row r="244" spans="1:21" ht="12.75">
      <c r="A244" s="367">
        <f t="shared" si="38"/>
        <v>227</v>
      </c>
      <c r="B244" s="368"/>
      <c r="C244" s="368">
        <v>10</v>
      </c>
      <c r="D244" s="369"/>
      <c r="E244" s="85" t="s">
        <v>213</v>
      </c>
      <c r="F244" s="375"/>
      <c r="G244" s="50">
        <f t="shared" si="36"/>
        <v>0</v>
      </c>
      <c r="H244" s="375">
        <v>0</v>
      </c>
      <c r="I244" s="375">
        <v>0</v>
      </c>
      <c r="J244" s="375">
        <v>0</v>
      </c>
      <c r="K244" s="375"/>
      <c r="L244" s="21"/>
      <c r="M244" s="21">
        <v>0</v>
      </c>
      <c r="N244" s="229"/>
      <c r="O244" s="30">
        <f aca="true" t="shared" si="40" ref="O244:O258">G244-N244</f>
        <v>0</v>
      </c>
      <c r="P244" s="228">
        <f t="shared" si="39"/>
        <v>0</v>
      </c>
      <c r="Q244" s="228"/>
      <c r="R244" s="228"/>
      <c r="S244" s="167"/>
      <c r="T244" s="167"/>
      <c r="U244" s="167"/>
    </row>
    <row r="245" spans="1:21" ht="12.75">
      <c r="A245" s="367">
        <f t="shared" si="38"/>
        <v>228</v>
      </c>
      <c r="B245" s="368"/>
      <c r="C245" s="368">
        <v>11</v>
      </c>
      <c r="D245" s="369"/>
      <c r="E245" s="85" t="s">
        <v>273</v>
      </c>
      <c r="F245" s="375"/>
      <c r="G245" s="50">
        <f t="shared" si="36"/>
        <v>2.22</v>
      </c>
      <c r="H245" s="375">
        <v>1.11</v>
      </c>
      <c r="I245" s="375">
        <v>1.11</v>
      </c>
      <c r="J245" s="478">
        <v>0</v>
      </c>
      <c r="K245" s="375"/>
      <c r="L245" s="21"/>
      <c r="M245" s="21">
        <v>0.5</v>
      </c>
      <c r="N245" s="229">
        <v>1.63</v>
      </c>
      <c r="O245" s="30">
        <f t="shared" si="40"/>
        <v>0.5900000000000003</v>
      </c>
      <c r="P245" s="228">
        <f t="shared" si="39"/>
        <v>2.22</v>
      </c>
      <c r="Q245" s="228"/>
      <c r="R245" s="228"/>
      <c r="S245" s="167"/>
      <c r="T245" s="167"/>
      <c r="U245" s="167"/>
    </row>
    <row r="246" spans="1:21" ht="12.75">
      <c r="A246" s="367">
        <f t="shared" si="38"/>
        <v>229</v>
      </c>
      <c r="B246" s="368"/>
      <c r="C246" s="368">
        <v>12</v>
      </c>
      <c r="D246" s="369"/>
      <c r="E246" s="85" t="s">
        <v>274</v>
      </c>
      <c r="F246" s="375"/>
      <c r="G246" s="50">
        <f t="shared" si="36"/>
        <v>0</v>
      </c>
      <c r="H246" s="375">
        <v>0</v>
      </c>
      <c r="I246" s="375">
        <v>0</v>
      </c>
      <c r="J246" s="375">
        <v>0</v>
      </c>
      <c r="K246" s="375"/>
      <c r="L246" s="21"/>
      <c r="M246" s="21">
        <v>0</v>
      </c>
      <c r="N246" s="229"/>
      <c r="O246" s="30">
        <f t="shared" si="40"/>
        <v>0</v>
      </c>
      <c r="P246" s="228">
        <f t="shared" si="39"/>
        <v>0</v>
      </c>
      <c r="Q246" s="228"/>
      <c r="R246" s="228"/>
      <c r="S246" s="167"/>
      <c r="T246" s="167"/>
      <c r="U246" s="167"/>
    </row>
    <row r="247" spans="1:21" ht="12.75">
      <c r="A247" s="367">
        <f t="shared" si="38"/>
        <v>230</v>
      </c>
      <c r="B247" s="368"/>
      <c r="C247" s="368">
        <v>13</v>
      </c>
      <c r="D247" s="369"/>
      <c r="E247" s="85" t="s">
        <v>216</v>
      </c>
      <c r="F247" s="375"/>
      <c r="G247" s="50">
        <f t="shared" si="36"/>
        <v>11</v>
      </c>
      <c r="H247" s="375">
        <v>0</v>
      </c>
      <c r="I247" s="375">
        <v>8</v>
      </c>
      <c r="J247" s="478">
        <v>3</v>
      </c>
      <c r="K247" s="375"/>
      <c r="L247" s="21"/>
      <c r="M247" s="21">
        <v>0</v>
      </c>
      <c r="N247" s="229">
        <v>7.35</v>
      </c>
      <c r="O247" s="30">
        <f t="shared" si="40"/>
        <v>3.6500000000000004</v>
      </c>
      <c r="P247" s="228">
        <f t="shared" si="39"/>
        <v>11</v>
      </c>
      <c r="Q247" s="228"/>
      <c r="R247" s="228"/>
      <c r="S247" s="167"/>
      <c r="T247" s="167"/>
      <c r="U247" s="167"/>
    </row>
    <row r="248" spans="1:21" ht="12.75">
      <c r="A248" s="367">
        <f t="shared" si="38"/>
        <v>231</v>
      </c>
      <c r="B248" s="368"/>
      <c r="C248" s="368">
        <v>14</v>
      </c>
      <c r="D248" s="369"/>
      <c r="E248" s="85" t="s">
        <v>217</v>
      </c>
      <c r="F248" s="375"/>
      <c r="G248" s="50">
        <f t="shared" si="36"/>
        <v>0</v>
      </c>
      <c r="H248" s="375">
        <v>0</v>
      </c>
      <c r="I248" s="375">
        <v>0</v>
      </c>
      <c r="J248" s="375">
        <v>0</v>
      </c>
      <c r="K248" s="375"/>
      <c r="L248" s="21"/>
      <c r="M248" s="21">
        <v>0</v>
      </c>
      <c r="N248" s="229"/>
      <c r="O248" s="30">
        <f t="shared" si="40"/>
        <v>0</v>
      </c>
      <c r="P248" s="228">
        <f t="shared" si="39"/>
        <v>0</v>
      </c>
      <c r="Q248" s="228"/>
      <c r="R248" s="228"/>
      <c r="S248" s="167"/>
      <c r="T248" s="167"/>
      <c r="U248" s="167"/>
    </row>
    <row r="249" spans="1:21" ht="12.75">
      <c r="A249" s="367">
        <f t="shared" si="38"/>
        <v>232</v>
      </c>
      <c r="B249" s="368"/>
      <c r="C249" s="368">
        <v>25</v>
      </c>
      <c r="D249" s="369"/>
      <c r="E249" s="85" t="s">
        <v>218</v>
      </c>
      <c r="F249" s="375"/>
      <c r="G249" s="50">
        <f t="shared" si="36"/>
        <v>0</v>
      </c>
      <c r="H249" s="375">
        <v>0</v>
      </c>
      <c r="I249" s="375">
        <v>0</v>
      </c>
      <c r="J249" s="375">
        <v>0</v>
      </c>
      <c r="K249" s="375"/>
      <c r="L249" s="21"/>
      <c r="M249" s="21">
        <v>0</v>
      </c>
      <c r="N249" s="229"/>
      <c r="O249" s="30">
        <f t="shared" si="40"/>
        <v>0</v>
      </c>
      <c r="P249" s="228">
        <f t="shared" si="39"/>
        <v>0</v>
      </c>
      <c r="Q249" s="228"/>
      <c r="R249" s="228"/>
      <c r="S249" s="167"/>
      <c r="T249" s="167"/>
      <c r="U249" s="167"/>
    </row>
    <row r="250" spans="1:21" ht="12.75">
      <c r="A250" s="367">
        <f t="shared" si="38"/>
        <v>233</v>
      </c>
      <c r="B250" s="368"/>
      <c r="C250" s="368">
        <v>27</v>
      </c>
      <c r="D250" s="369"/>
      <c r="E250" s="85" t="s">
        <v>219</v>
      </c>
      <c r="F250" s="375"/>
      <c r="G250" s="50">
        <f t="shared" si="36"/>
        <v>0</v>
      </c>
      <c r="H250" s="375">
        <v>0</v>
      </c>
      <c r="I250" s="375">
        <v>0</v>
      </c>
      <c r="J250" s="375">
        <v>0</v>
      </c>
      <c r="K250" s="375"/>
      <c r="L250" s="21"/>
      <c r="M250" s="21">
        <v>0</v>
      </c>
      <c r="N250" s="229"/>
      <c r="O250" s="30">
        <f t="shared" si="40"/>
        <v>0</v>
      </c>
      <c r="P250" s="228">
        <f t="shared" si="39"/>
        <v>0</v>
      </c>
      <c r="Q250" s="228"/>
      <c r="R250" s="228"/>
      <c r="S250" s="167"/>
      <c r="T250" s="167"/>
      <c r="U250" s="167"/>
    </row>
    <row r="251" spans="1:21" ht="12.75">
      <c r="A251" s="367">
        <f t="shared" si="38"/>
        <v>234</v>
      </c>
      <c r="B251" s="368"/>
      <c r="C251" s="368">
        <v>30</v>
      </c>
      <c r="D251" s="369"/>
      <c r="E251" s="85" t="s">
        <v>120</v>
      </c>
      <c r="F251" s="49">
        <f>+F252+F253+F254+F255+F256</f>
        <v>0</v>
      </c>
      <c r="G251" s="50">
        <f t="shared" si="36"/>
        <v>68.58</v>
      </c>
      <c r="H251" s="49">
        <f>+H252+H253+H254+H255+H256</f>
        <v>14.92</v>
      </c>
      <c r="I251" s="49">
        <f>+I252+I253+I254+I255+I256</f>
        <v>33.66</v>
      </c>
      <c r="J251" s="49">
        <f>+J252+J253+J254+J255+J256</f>
        <v>20</v>
      </c>
      <c r="K251" s="124">
        <f>+K252+K253+K254+K255+K256</f>
        <v>0</v>
      </c>
      <c r="L251" s="21"/>
      <c r="M251" s="21">
        <v>0</v>
      </c>
      <c r="N251" s="229">
        <v>66.02</v>
      </c>
      <c r="O251" s="30">
        <f t="shared" si="40"/>
        <v>2.5600000000000023</v>
      </c>
      <c r="P251" s="228">
        <f t="shared" si="39"/>
        <v>68.58</v>
      </c>
      <c r="Q251" s="228"/>
      <c r="R251" s="228"/>
      <c r="S251" s="167"/>
      <c r="T251" s="167"/>
      <c r="U251" s="167"/>
    </row>
    <row r="252" spans="1:21" ht="12.75">
      <c r="A252" s="367">
        <f t="shared" si="38"/>
        <v>235</v>
      </c>
      <c r="B252" s="368"/>
      <c r="C252" s="368"/>
      <c r="D252" s="379" t="s">
        <v>47</v>
      </c>
      <c r="E252" s="66" t="s">
        <v>220</v>
      </c>
      <c r="F252" s="375"/>
      <c r="G252" s="50">
        <f t="shared" si="36"/>
        <v>0</v>
      </c>
      <c r="H252" s="375">
        <v>0</v>
      </c>
      <c r="I252" s="375">
        <v>0</v>
      </c>
      <c r="J252" s="375">
        <v>0</v>
      </c>
      <c r="K252" s="375"/>
      <c r="L252" s="21"/>
      <c r="M252" s="21">
        <v>0</v>
      </c>
      <c r="N252" s="229"/>
      <c r="O252" s="30">
        <f t="shared" si="40"/>
        <v>0</v>
      </c>
      <c r="P252" s="228">
        <f t="shared" si="39"/>
        <v>0</v>
      </c>
      <c r="Q252" s="228"/>
      <c r="R252" s="228"/>
      <c r="S252" s="167"/>
      <c r="T252" s="167"/>
      <c r="U252" s="167"/>
    </row>
    <row r="253" spans="1:21" ht="12.75">
      <c r="A253" s="367">
        <f t="shared" si="38"/>
        <v>236</v>
      </c>
      <c r="B253" s="368"/>
      <c r="C253" s="368"/>
      <c r="D253" s="379" t="s">
        <v>84</v>
      </c>
      <c r="E253" s="66" t="s">
        <v>221</v>
      </c>
      <c r="F253" s="375"/>
      <c r="G253" s="50">
        <f t="shared" si="36"/>
        <v>0</v>
      </c>
      <c r="H253" s="375">
        <v>0</v>
      </c>
      <c r="I253" s="375">
        <v>0</v>
      </c>
      <c r="J253" s="375">
        <v>0</v>
      </c>
      <c r="K253" s="375"/>
      <c r="L253" s="21"/>
      <c r="M253" s="21">
        <v>0</v>
      </c>
      <c r="N253" s="229"/>
      <c r="O253" s="30">
        <f t="shared" si="40"/>
        <v>0</v>
      </c>
      <c r="P253" s="228">
        <f t="shared" si="39"/>
        <v>0</v>
      </c>
      <c r="Q253" s="228"/>
      <c r="R253" s="228"/>
      <c r="S253" s="167"/>
      <c r="T253" s="167"/>
      <c r="U253" s="167"/>
    </row>
    <row r="254" spans="1:21" ht="12.75">
      <c r="A254" s="367">
        <f t="shared" si="38"/>
        <v>237</v>
      </c>
      <c r="B254" s="368"/>
      <c r="C254" s="368"/>
      <c r="D254" s="379" t="s">
        <v>108</v>
      </c>
      <c r="E254" s="66" t="s">
        <v>222</v>
      </c>
      <c r="F254" s="375"/>
      <c r="G254" s="50">
        <f t="shared" si="36"/>
        <v>65.25999999999999</v>
      </c>
      <c r="H254" s="375">
        <v>13.26</v>
      </c>
      <c r="I254" s="375">
        <v>32</v>
      </c>
      <c r="J254" s="375">
        <f>20-M254</f>
        <v>20</v>
      </c>
      <c r="K254" s="375"/>
      <c r="L254" s="21"/>
      <c r="M254" s="21">
        <v>0</v>
      </c>
      <c r="N254" s="229">
        <v>64.57</v>
      </c>
      <c r="O254" s="30">
        <f t="shared" si="40"/>
        <v>0.6899999999999977</v>
      </c>
      <c r="P254" s="228">
        <f t="shared" si="39"/>
        <v>65.25999999999999</v>
      </c>
      <c r="Q254" s="228"/>
      <c r="R254" s="228"/>
      <c r="S254" s="167"/>
      <c r="T254" s="167"/>
      <c r="U254" s="167"/>
    </row>
    <row r="255" spans="1:21" ht="12.75">
      <c r="A255" s="367">
        <f t="shared" si="38"/>
        <v>238</v>
      </c>
      <c r="B255" s="368"/>
      <c r="C255" s="368"/>
      <c r="D255" s="379" t="s">
        <v>160</v>
      </c>
      <c r="E255" s="66" t="s">
        <v>223</v>
      </c>
      <c r="F255" s="375"/>
      <c r="G255" s="50">
        <f aca="true" t="shared" si="41" ref="G255:G294">H255+I255+J255+K255</f>
        <v>0</v>
      </c>
      <c r="H255" s="375">
        <v>0</v>
      </c>
      <c r="I255" s="375">
        <v>0</v>
      </c>
      <c r="J255" s="375">
        <v>0</v>
      </c>
      <c r="K255" s="375"/>
      <c r="L255" s="21"/>
      <c r="M255" s="21">
        <v>0</v>
      </c>
      <c r="N255" s="229"/>
      <c r="O255" s="30">
        <f t="shared" si="40"/>
        <v>0</v>
      </c>
      <c r="P255" s="228">
        <f t="shared" si="39"/>
        <v>0</v>
      </c>
      <c r="Q255" s="228"/>
      <c r="R255" s="228"/>
      <c r="S255" s="167"/>
      <c r="T255" s="167"/>
      <c r="U255" s="167"/>
    </row>
    <row r="256" spans="1:21" ht="12.75">
      <c r="A256" s="367">
        <f t="shared" si="38"/>
        <v>239</v>
      </c>
      <c r="B256" s="368"/>
      <c r="C256" s="368"/>
      <c r="D256" s="369">
        <v>30</v>
      </c>
      <c r="E256" s="66" t="s">
        <v>224</v>
      </c>
      <c r="F256" s="375"/>
      <c r="G256" s="50">
        <f t="shared" si="41"/>
        <v>3.32</v>
      </c>
      <c r="H256" s="375">
        <v>1.66</v>
      </c>
      <c r="I256" s="375">
        <v>1.66</v>
      </c>
      <c r="J256" s="375">
        <v>0</v>
      </c>
      <c r="K256" s="375"/>
      <c r="L256" s="21"/>
      <c r="M256" s="21">
        <v>0</v>
      </c>
      <c r="N256" s="229">
        <v>1.45</v>
      </c>
      <c r="O256" s="30">
        <f t="shared" si="40"/>
        <v>1.8699999999999999</v>
      </c>
      <c r="P256" s="228">
        <f t="shared" si="39"/>
        <v>3.32</v>
      </c>
      <c r="Q256" s="228"/>
      <c r="R256" s="228"/>
      <c r="S256" s="167"/>
      <c r="T256" s="167"/>
      <c r="U256" s="167"/>
    </row>
    <row r="257" spans="1:21" ht="12.75">
      <c r="A257" s="367">
        <f t="shared" si="38"/>
        <v>240</v>
      </c>
      <c r="B257" s="390">
        <v>30</v>
      </c>
      <c r="C257" s="390"/>
      <c r="D257" s="408"/>
      <c r="E257" s="409" t="s">
        <v>225</v>
      </c>
      <c r="F257" s="49">
        <f aca="true" t="shared" si="42" ref="F257:K258">+F258</f>
        <v>0</v>
      </c>
      <c r="G257" s="50">
        <f t="shared" si="41"/>
        <v>0</v>
      </c>
      <c r="H257" s="49">
        <f t="shared" si="42"/>
        <v>0</v>
      </c>
      <c r="I257" s="49">
        <f t="shared" si="42"/>
        <v>0</v>
      </c>
      <c r="J257" s="49">
        <f t="shared" si="42"/>
        <v>0</v>
      </c>
      <c r="K257" s="124">
        <f t="shared" si="42"/>
        <v>0</v>
      </c>
      <c r="L257" s="21"/>
      <c r="M257" s="21">
        <v>0</v>
      </c>
      <c r="N257" s="229"/>
      <c r="O257" s="30">
        <f t="shared" si="40"/>
        <v>0</v>
      </c>
      <c r="P257" s="228">
        <f t="shared" si="39"/>
        <v>0</v>
      </c>
      <c r="Q257" s="228"/>
      <c r="R257" s="228"/>
      <c r="S257" s="167"/>
      <c r="T257" s="167"/>
      <c r="U257" s="167"/>
    </row>
    <row r="258" spans="1:21" ht="12.75">
      <c r="A258" s="367">
        <f t="shared" si="38"/>
        <v>241</v>
      </c>
      <c r="B258" s="390"/>
      <c r="C258" s="410" t="s">
        <v>84</v>
      </c>
      <c r="D258" s="408"/>
      <c r="E258" s="409" t="s">
        <v>226</v>
      </c>
      <c r="F258" s="49">
        <f t="shared" si="42"/>
        <v>0</v>
      </c>
      <c r="G258" s="50">
        <f t="shared" si="41"/>
        <v>0</v>
      </c>
      <c r="H258" s="49">
        <f t="shared" si="42"/>
        <v>0</v>
      </c>
      <c r="I258" s="49">
        <f t="shared" si="42"/>
        <v>0</v>
      </c>
      <c r="J258" s="49">
        <f t="shared" si="42"/>
        <v>0</v>
      </c>
      <c r="K258" s="124">
        <f t="shared" si="42"/>
        <v>0</v>
      </c>
      <c r="L258" s="21"/>
      <c r="M258" s="21">
        <v>0</v>
      </c>
      <c r="N258" s="228"/>
      <c r="O258" s="30">
        <f t="shared" si="40"/>
        <v>0</v>
      </c>
      <c r="P258" s="228">
        <f t="shared" si="39"/>
        <v>0</v>
      </c>
      <c r="Q258" s="228"/>
      <c r="R258" s="228"/>
      <c r="S258" s="167"/>
      <c r="T258" s="167"/>
      <c r="U258" s="167"/>
    </row>
    <row r="259" spans="1:21" ht="12.75">
      <c r="A259" s="367">
        <f t="shared" si="38"/>
        <v>242</v>
      </c>
      <c r="B259" s="390"/>
      <c r="C259" s="410"/>
      <c r="D259" s="392" t="s">
        <v>41</v>
      </c>
      <c r="E259" s="411" t="s">
        <v>227</v>
      </c>
      <c r="F259" s="375"/>
      <c r="G259" s="50">
        <f t="shared" si="41"/>
        <v>0</v>
      </c>
      <c r="H259" s="375"/>
      <c r="I259" s="375"/>
      <c r="J259" s="375"/>
      <c r="K259" s="412"/>
      <c r="L259" s="21"/>
      <c r="M259" s="21"/>
      <c r="N259" s="228"/>
      <c r="O259" s="165"/>
      <c r="P259" s="228"/>
      <c r="Q259" s="228"/>
      <c r="R259" s="228"/>
      <c r="S259" s="167"/>
      <c r="T259" s="167"/>
      <c r="U259" s="167"/>
    </row>
    <row r="260" spans="1:21" ht="25.5">
      <c r="A260" s="367">
        <f t="shared" si="38"/>
        <v>243</v>
      </c>
      <c r="B260" s="404" t="s">
        <v>228</v>
      </c>
      <c r="C260" s="401"/>
      <c r="D260" s="402"/>
      <c r="E260" s="413" t="s">
        <v>229</v>
      </c>
      <c r="F260" s="375"/>
      <c r="G260" s="50">
        <f t="shared" si="41"/>
        <v>2683.47</v>
      </c>
      <c r="H260" s="375">
        <v>2683.47</v>
      </c>
      <c r="I260" s="375">
        <v>0</v>
      </c>
      <c r="J260" s="375">
        <v>0</v>
      </c>
      <c r="K260" s="412"/>
      <c r="L260" s="21"/>
      <c r="M260" s="21"/>
      <c r="N260" s="228"/>
      <c r="O260" s="165"/>
      <c r="P260" s="228"/>
      <c r="Q260" s="228"/>
      <c r="R260" s="228"/>
      <c r="S260" s="167"/>
      <c r="T260" s="167"/>
      <c r="U260" s="167"/>
    </row>
    <row r="261" spans="1:21" ht="12.75">
      <c r="A261" s="367">
        <f t="shared" si="38"/>
        <v>244</v>
      </c>
      <c r="B261" s="390">
        <v>57</v>
      </c>
      <c r="C261" s="410"/>
      <c r="D261" s="392"/>
      <c r="E261" s="409" t="s">
        <v>230</v>
      </c>
      <c r="F261" s="109">
        <f>F262+F263</f>
        <v>0</v>
      </c>
      <c r="G261" s="50">
        <f t="shared" si="41"/>
        <v>0</v>
      </c>
      <c r="H261" s="109">
        <f>H262+H263</f>
        <v>0</v>
      </c>
      <c r="I261" s="109">
        <f>I262+I263</f>
        <v>0</v>
      </c>
      <c r="J261" s="109">
        <f>J262+J263</f>
        <v>0</v>
      </c>
      <c r="K261" s="109">
        <f>K262+K263</f>
        <v>0</v>
      </c>
      <c r="L261" s="21"/>
      <c r="M261" s="21"/>
      <c r="N261" s="228"/>
      <c r="O261" s="165"/>
      <c r="P261" s="228"/>
      <c r="Q261" s="228"/>
      <c r="R261" s="228"/>
      <c r="S261" s="167"/>
      <c r="T261" s="167"/>
      <c r="U261" s="167"/>
    </row>
    <row r="262" spans="1:21" ht="12.75">
      <c r="A262" s="367">
        <f t="shared" si="38"/>
        <v>245</v>
      </c>
      <c r="B262" s="390"/>
      <c r="C262" s="410" t="s">
        <v>47</v>
      </c>
      <c r="D262" s="392"/>
      <c r="E262" s="409" t="s">
        <v>231</v>
      </c>
      <c r="F262" s="109"/>
      <c r="G262" s="50">
        <f t="shared" si="41"/>
        <v>0</v>
      </c>
      <c r="H262" s="109"/>
      <c r="I262" s="109"/>
      <c r="J262" s="109"/>
      <c r="K262" s="109"/>
      <c r="L262" s="21"/>
      <c r="M262" s="21"/>
      <c r="N262" s="228"/>
      <c r="O262" s="165"/>
      <c r="P262" s="228"/>
      <c r="Q262" s="228"/>
      <c r="R262" s="228"/>
      <c r="S262" s="167"/>
      <c r="T262" s="167"/>
      <c r="U262" s="167"/>
    </row>
    <row r="263" spans="1:21" ht="12.75">
      <c r="A263" s="367">
        <f t="shared" si="38"/>
        <v>246</v>
      </c>
      <c r="B263" s="390"/>
      <c r="C263" s="410" t="s">
        <v>80</v>
      </c>
      <c r="D263" s="392"/>
      <c r="E263" s="411" t="s">
        <v>232</v>
      </c>
      <c r="F263" s="109">
        <f>F264+F265+F267</f>
        <v>0</v>
      </c>
      <c r="G263" s="50">
        <f t="shared" si="41"/>
        <v>0</v>
      </c>
      <c r="H263" s="109">
        <f>H264+H265+H267</f>
        <v>0</v>
      </c>
      <c r="I263" s="109">
        <f>I264+I265+I267</f>
        <v>0</v>
      </c>
      <c r="J263" s="109">
        <f>J264+J265+J267</f>
        <v>0</v>
      </c>
      <c r="K263" s="109">
        <f>K264+K265+K267</f>
        <v>0</v>
      </c>
      <c r="L263" s="21"/>
      <c r="M263" s="21"/>
      <c r="N263" s="228"/>
      <c r="O263" s="165"/>
      <c r="P263" s="228"/>
      <c r="Q263" s="228"/>
      <c r="R263" s="228"/>
      <c r="S263" s="167"/>
      <c r="T263" s="167"/>
      <c r="U263" s="167"/>
    </row>
    <row r="264" spans="1:18" ht="12.75">
      <c r="A264" s="367">
        <f t="shared" si="38"/>
        <v>247</v>
      </c>
      <c r="B264" s="390"/>
      <c r="C264" s="410"/>
      <c r="D264" s="392" t="s">
        <v>47</v>
      </c>
      <c r="E264" s="411" t="s">
        <v>233</v>
      </c>
      <c r="F264" s="375"/>
      <c r="G264" s="50">
        <f t="shared" si="41"/>
        <v>0</v>
      </c>
      <c r="H264" s="375"/>
      <c r="I264" s="375"/>
      <c r="J264" s="375"/>
      <c r="K264" s="412"/>
      <c r="L264" s="21"/>
      <c r="M264" s="21"/>
      <c r="N264" s="228"/>
      <c r="O264" s="165"/>
      <c r="P264" s="228"/>
      <c r="Q264" s="228"/>
      <c r="R264" s="228"/>
    </row>
    <row r="265" spans="1:18" ht="12.75">
      <c r="A265" s="367">
        <f t="shared" si="38"/>
        <v>248</v>
      </c>
      <c r="B265" s="390"/>
      <c r="C265" s="410"/>
      <c r="D265" s="392" t="s">
        <v>80</v>
      </c>
      <c r="E265" s="411" t="s">
        <v>234</v>
      </c>
      <c r="F265" s="375"/>
      <c r="G265" s="50">
        <f t="shared" si="41"/>
        <v>0</v>
      </c>
      <c r="H265" s="375"/>
      <c r="I265" s="375"/>
      <c r="J265" s="375"/>
      <c r="K265" s="412"/>
      <c r="L265" s="21"/>
      <c r="M265" s="21"/>
      <c r="N265" s="228"/>
      <c r="O265" s="165"/>
      <c r="P265" s="228"/>
      <c r="Q265" s="228"/>
      <c r="R265" s="228"/>
    </row>
    <row r="266" spans="1:18" ht="12.75">
      <c r="A266" s="367">
        <f t="shared" si="38"/>
        <v>249</v>
      </c>
      <c r="B266" s="390"/>
      <c r="C266" s="410"/>
      <c r="D266" s="392" t="s">
        <v>84</v>
      </c>
      <c r="E266" s="411" t="s">
        <v>235</v>
      </c>
      <c r="F266" s="375"/>
      <c r="G266" s="50">
        <f t="shared" si="41"/>
        <v>0</v>
      </c>
      <c r="H266" s="375"/>
      <c r="I266" s="375"/>
      <c r="J266" s="375"/>
      <c r="K266" s="412"/>
      <c r="L266" s="21"/>
      <c r="M266" s="21"/>
      <c r="N266" s="228"/>
      <c r="O266" s="165"/>
      <c r="P266" s="228"/>
      <c r="Q266" s="228"/>
      <c r="R266" s="228"/>
    </row>
    <row r="267" spans="1:18" ht="12.75">
      <c r="A267" s="367">
        <f t="shared" si="38"/>
        <v>250</v>
      </c>
      <c r="B267" s="390"/>
      <c r="C267" s="410"/>
      <c r="D267" s="392" t="s">
        <v>108</v>
      </c>
      <c r="E267" s="411" t="s">
        <v>236</v>
      </c>
      <c r="F267" s="375"/>
      <c r="G267" s="50">
        <f t="shared" si="41"/>
        <v>0</v>
      </c>
      <c r="H267" s="375"/>
      <c r="I267" s="375"/>
      <c r="J267" s="375"/>
      <c r="K267" s="412"/>
      <c r="L267" s="21"/>
      <c r="M267" s="21"/>
      <c r="N267" s="228"/>
      <c r="O267" s="165"/>
      <c r="P267" s="228"/>
      <c r="Q267" s="228"/>
      <c r="R267" s="228"/>
    </row>
    <row r="268" spans="1:18" ht="12.75">
      <c r="A268" s="367">
        <f t="shared" si="38"/>
        <v>251</v>
      </c>
      <c r="B268" s="368">
        <v>70</v>
      </c>
      <c r="C268" s="368"/>
      <c r="D268" s="369"/>
      <c r="E268" s="85" t="s">
        <v>237</v>
      </c>
      <c r="F268" s="49">
        <f>+F269</f>
        <v>0</v>
      </c>
      <c r="G268" s="50">
        <f t="shared" si="41"/>
        <v>275.21999999999997</v>
      </c>
      <c r="H268" s="49">
        <f>+H269</f>
        <v>109.77</v>
      </c>
      <c r="I268" s="49">
        <f>+I269</f>
        <v>165.45</v>
      </c>
      <c r="J268" s="49">
        <f>+J269</f>
        <v>0</v>
      </c>
      <c r="K268" s="124">
        <f>+K269</f>
        <v>0</v>
      </c>
      <c r="L268" s="21"/>
      <c r="M268" s="21"/>
      <c r="N268" s="228"/>
      <c r="O268" s="165"/>
      <c r="P268" s="228"/>
      <c r="Q268" s="228"/>
      <c r="R268" s="228"/>
    </row>
    <row r="269" spans="1:18" ht="12.75">
      <c r="A269" s="367">
        <f t="shared" si="38"/>
        <v>252</v>
      </c>
      <c r="B269" s="368">
        <v>71</v>
      </c>
      <c r="C269" s="368"/>
      <c r="D269" s="369"/>
      <c r="E269" s="85" t="s">
        <v>238</v>
      </c>
      <c r="F269" s="49">
        <f>+F270+F275</f>
        <v>0</v>
      </c>
      <c r="G269" s="50">
        <f t="shared" si="41"/>
        <v>275.21999999999997</v>
      </c>
      <c r="H269" s="49">
        <f>+H270+H275</f>
        <v>109.77</v>
      </c>
      <c r="I269" s="49">
        <f>+I270+I275</f>
        <v>165.45</v>
      </c>
      <c r="J269" s="49">
        <f>+J270+J275</f>
        <v>0</v>
      </c>
      <c r="K269" s="124">
        <f>+K270+K275</f>
        <v>0</v>
      </c>
      <c r="L269" s="21"/>
      <c r="M269" s="21"/>
      <c r="N269" s="228"/>
      <c r="O269" s="165"/>
      <c r="P269" s="228"/>
      <c r="Q269" s="228"/>
      <c r="R269" s="228"/>
    </row>
    <row r="270" spans="1:18" ht="12.75">
      <c r="A270" s="367">
        <f t="shared" si="38"/>
        <v>253</v>
      </c>
      <c r="B270" s="368"/>
      <c r="C270" s="377" t="s">
        <v>47</v>
      </c>
      <c r="D270" s="369"/>
      <c r="E270" s="85" t="s">
        <v>77</v>
      </c>
      <c r="F270" s="49">
        <f>+F271+F272+F273+F274</f>
        <v>0</v>
      </c>
      <c r="G270" s="50">
        <f t="shared" si="41"/>
        <v>275.21999999999997</v>
      </c>
      <c r="H270" s="49">
        <f>+H271+H272+H273+H274</f>
        <v>109.77</v>
      </c>
      <c r="I270" s="49">
        <f>+I271+I272+I273+I274</f>
        <v>165.45</v>
      </c>
      <c r="J270" s="49">
        <f>+J271+J272+J273+J274</f>
        <v>0</v>
      </c>
      <c r="K270" s="124">
        <f>+K271+K272+K273+K274</f>
        <v>0</v>
      </c>
      <c r="L270" s="21"/>
      <c r="M270" s="21"/>
      <c r="N270" s="228"/>
      <c r="O270" s="165"/>
      <c r="P270" s="228"/>
      <c r="Q270" s="228"/>
      <c r="R270" s="228"/>
    </row>
    <row r="271" spans="1:18" ht="12.75">
      <c r="A271" s="367">
        <f t="shared" si="38"/>
        <v>254</v>
      </c>
      <c r="B271" s="368"/>
      <c r="C271" s="368"/>
      <c r="D271" s="379" t="s">
        <v>47</v>
      </c>
      <c r="E271" s="143" t="s">
        <v>239</v>
      </c>
      <c r="F271" s="375"/>
      <c r="G271" s="50">
        <f t="shared" si="41"/>
        <v>0</v>
      </c>
      <c r="H271" s="375">
        <v>0</v>
      </c>
      <c r="I271" s="375"/>
      <c r="J271" s="375"/>
      <c r="K271" s="375"/>
      <c r="L271" s="21"/>
      <c r="M271" s="21"/>
      <c r="N271" s="228"/>
      <c r="O271" s="165"/>
      <c r="P271" s="228"/>
      <c r="Q271" s="228"/>
      <c r="R271" s="228"/>
    </row>
    <row r="272" spans="1:18" ht="12.75">
      <c r="A272" s="367">
        <f t="shared" si="38"/>
        <v>255</v>
      </c>
      <c r="B272" s="368"/>
      <c r="C272" s="368"/>
      <c r="D272" s="379" t="s">
        <v>80</v>
      </c>
      <c r="E272" s="143" t="s">
        <v>81</v>
      </c>
      <c r="F272" s="375"/>
      <c r="G272" s="50">
        <f t="shared" si="41"/>
        <v>275.21999999999997</v>
      </c>
      <c r="H272" s="375">
        <v>109.77</v>
      </c>
      <c r="I272" s="375">
        <v>165.45</v>
      </c>
      <c r="J272" s="375">
        <v>0</v>
      </c>
      <c r="K272" s="375"/>
      <c r="L272" s="21"/>
      <c r="M272" s="21"/>
      <c r="N272" s="228"/>
      <c r="O272" s="165"/>
      <c r="P272" s="228"/>
      <c r="Q272" s="228"/>
      <c r="R272" s="228"/>
    </row>
    <row r="273" spans="1:18" ht="12.75">
      <c r="A273" s="367">
        <f t="shared" si="38"/>
        <v>256</v>
      </c>
      <c r="B273" s="368"/>
      <c r="C273" s="368"/>
      <c r="D273" s="379" t="s">
        <v>84</v>
      </c>
      <c r="E273" s="143" t="s">
        <v>245</v>
      </c>
      <c r="F273" s="375"/>
      <c r="G273" s="50">
        <f t="shared" si="41"/>
        <v>0</v>
      </c>
      <c r="H273" s="375">
        <v>0</v>
      </c>
      <c r="I273" s="375"/>
      <c r="J273" s="375"/>
      <c r="K273" s="375"/>
      <c r="L273" s="21"/>
      <c r="M273" s="21"/>
      <c r="N273" s="228"/>
      <c r="O273" s="165"/>
      <c r="P273" s="228"/>
      <c r="Q273" s="228"/>
      <c r="R273" s="228"/>
    </row>
    <row r="274" spans="1:18" ht="12.75">
      <c r="A274" s="367">
        <f t="shared" si="38"/>
        <v>257</v>
      </c>
      <c r="B274" s="368"/>
      <c r="C274" s="368"/>
      <c r="D274" s="369">
        <v>30</v>
      </c>
      <c r="E274" s="143" t="s">
        <v>275</v>
      </c>
      <c r="F274" s="375"/>
      <c r="G274" s="50">
        <f t="shared" si="41"/>
        <v>0</v>
      </c>
      <c r="H274" s="375">
        <v>0</v>
      </c>
      <c r="I274" s="375"/>
      <c r="J274" s="375"/>
      <c r="K274" s="375"/>
      <c r="L274" s="21"/>
      <c r="M274" s="21"/>
      <c r="N274" s="228"/>
      <c r="O274" s="165"/>
      <c r="P274" s="228"/>
      <c r="Q274" s="228"/>
      <c r="R274" s="228"/>
    </row>
    <row r="275" spans="1:18" ht="12.75">
      <c r="A275" s="367">
        <f t="shared" si="38"/>
        <v>258</v>
      </c>
      <c r="B275" s="368"/>
      <c r="C275" s="377" t="s">
        <v>84</v>
      </c>
      <c r="D275" s="369"/>
      <c r="E275" s="143" t="s">
        <v>243</v>
      </c>
      <c r="F275" s="375"/>
      <c r="G275" s="50">
        <f t="shared" si="41"/>
        <v>0</v>
      </c>
      <c r="H275" s="375">
        <v>0</v>
      </c>
      <c r="I275" s="375"/>
      <c r="J275" s="375"/>
      <c r="K275" s="375"/>
      <c r="L275" s="21"/>
      <c r="M275" s="21"/>
      <c r="N275" s="228"/>
      <c r="O275" s="165"/>
      <c r="P275" s="228"/>
      <c r="Q275" s="228"/>
      <c r="R275" s="228"/>
    </row>
    <row r="276" spans="1:18" ht="12.75">
      <c r="A276" s="367">
        <f t="shared" si="38"/>
        <v>259</v>
      </c>
      <c r="B276" s="368"/>
      <c r="C276" s="368"/>
      <c r="D276" s="369"/>
      <c r="E276" s="85" t="s">
        <v>244</v>
      </c>
      <c r="F276" s="49">
        <f>F277+F278+F279</f>
        <v>0</v>
      </c>
      <c r="G276" s="50">
        <f t="shared" si="41"/>
        <v>225.45</v>
      </c>
      <c r="H276" s="49">
        <f>H277+H278+H279</f>
        <v>60</v>
      </c>
      <c r="I276" s="49">
        <f>I277+I278+I279</f>
        <v>165.45</v>
      </c>
      <c r="J276" s="49">
        <f>J277+J278+J279</f>
        <v>0</v>
      </c>
      <c r="K276" s="49">
        <f>K277+K278+K279</f>
        <v>0</v>
      </c>
      <c r="L276" s="21"/>
      <c r="M276" s="21"/>
      <c r="N276" s="228"/>
      <c r="P276" s="228"/>
      <c r="Q276" s="228"/>
      <c r="R276" s="228"/>
    </row>
    <row r="277" spans="1:18" ht="12.75">
      <c r="A277" s="367">
        <f t="shared" si="38"/>
        <v>260</v>
      </c>
      <c r="B277" s="368">
        <v>71</v>
      </c>
      <c r="C277" s="377" t="s">
        <v>47</v>
      </c>
      <c r="D277" s="379" t="s">
        <v>80</v>
      </c>
      <c r="E277" s="66" t="s">
        <v>81</v>
      </c>
      <c r="F277" s="375"/>
      <c r="G277" s="50">
        <f t="shared" si="41"/>
        <v>225.45</v>
      </c>
      <c r="H277" s="375">
        <v>60</v>
      </c>
      <c r="I277" s="375">
        <v>165.45</v>
      </c>
      <c r="J277" s="375"/>
      <c r="K277" s="375"/>
      <c r="L277" s="21"/>
      <c r="M277" s="21"/>
      <c r="N277" s="228"/>
      <c r="P277" s="228"/>
      <c r="Q277" s="228"/>
      <c r="R277" s="228"/>
    </row>
    <row r="278" spans="1:14" ht="12.75">
      <c r="A278" s="367">
        <f t="shared" si="38"/>
        <v>261</v>
      </c>
      <c r="B278" s="368"/>
      <c r="C278" s="368"/>
      <c r="D278" s="379" t="s">
        <v>84</v>
      </c>
      <c r="E278" s="66" t="s">
        <v>245</v>
      </c>
      <c r="F278" s="375"/>
      <c r="G278" s="50">
        <f t="shared" si="41"/>
        <v>0</v>
      </c>
      <c r="H278" s="375"/>
      <c r="I278" s="375"/>
      <c r="J278" s="375"/>
      <c r="K278" s="375"/>
      <c r="L278" s="21"/>
      <c r="M278" s="21"/>
      <c r="N278" s="228"/>
    </row>
    <row r="279" spans="1:14" ht="12.75">
      <c r="A279" s="367">
        <f t="shared" si="38"/>
        <v>262</v>
      </c>
      <c r="B279" s="368"/>
      <c r="C279" s="368"/>
      <c r="D279" s="369">
        <v>30</v>
      </c>
      <c r="E279" s="97" t="s">
        <v>242</v>
      </c>
      <c r="F279" s="375"/>
      <c r="G279" s="50">
        <f t="shared" si="41"/>
        <v>0</v>
      </c>
      <c r="H279" s="375">
        <v>0</v>
      </c>
      <c r="I279" s="375"/>
      <c r="J279" s="375"/>
      <c r="K279" s="375"/>
      <c r="L279" s="21"/>
      <c r="M279" s="21"/>
      <c r="N279" s="228"/>
    </row>
    <row r="280" spans="1:14" ht="12.75">
      <c r="A280" s="367">
        <f t="shared" si="38"/>
        <v>263</v>
      </c>
      <c r="B280" s="368"/>
      <c r="C280" s="368"/>
      <c r="D280" s="369"/>
      <c r="E280" s="85" t="s">
        <v>276</v>
      </c>
      <c r="F280" s="79">
        <f>F282</f>
        <v>0</v>
      </c>
      <c r="G280" s="50">
        <f t="shared" si="41"/>
        <v>52707.31</v>
      </c>
      <c r="H280" s="79">
        <f>H282</f>
        <v>27086.6</v>
      </c>
      <c r="I280" s="79">
        <f>I282</f>
        <v>20977.67</v>
      </c>
      <c r="J280" s="79">
        <f>J282</f>
        <v>4643.04</v>
      </c>
      <c r="K280" s="79">
        <f>K282</f>
        <v>0</v>
      </c>
      <c r="L280" s="21"/>
      <c r="M280" s="21"/>
      <c r="N280" s="167"/>
    </row>
    <row r="281" spans="1:14" ht="12.75">
      <c r="A281" s="367"/>
      <c r="B281" s="368" t="s">
        <v>18</v>
      </c>
      <c r="C281" s="368" t="s">
        <v>247</v>
      </c>
      <c r="D281" s="86" t="s">
        <v>20</v>
      </c>
      <c r="E281" s="66"/>
      <c r="F281" s="79"/>
      <c r="G281" s="50">
        <f t="shared" si="41"/>
        <v>0</v>
      </c>
      <c r="H281" s="79"/>
      <c r="I281" s="79"/>
      <c r="J281" s="79"/>
      <c r="K281" s="393"/>
      <c r="L281" s="21"/>
      <c r="M281" s="21"/>
      <c r="N281" s="167"/>
    </row>
    <row r="282" spans="1:14" ht="12.75">
      <c r="A282" s="367">
        <f>A280+1</f>
        <v>264</v>
      </c>
      <c r="B282" s="377" t="s">
        <v>248</v>
      </c>
      <c r="C282" s="368"/>
      <c r="D282" s="369"/>
      <c r="E282" s="85" t="s">
        <v>249</v>
      </c>
      <c r="F282" s="49">
        <f>+F283+F286+F287+F290+F291</f>
        <v>0</v>
      </c>
      <c r="G282" s="50">
        <f t="shared" si="41"/>
        <v>52707.31</v>
      </c>
      <c r="H282" s="49">
        <f>+H283+H286+H287+H290+H291</f>
        <v>27086.6</v>
      </c>
      <c r="I282" s="49">
        <f>+I283+I286+I287+I290+I291</f>
        <v>20977.67</v>
      </c>
      <c r="J282" s="49">
        <f>+J283+J286+J287+J290+J291</f>
        <v>4643.04</v>
      </c>
      <c r="K282" s="124">
        <f>+K283+K286+K287+K290+K291</f>
        <v>0</v>
      </c>
      <c r="L282" s="21"/>
      <c r="M282" s="21"/>
      <c r="N282" s="167"/>
    </row>
    <row r="283" spans="1:14" ht="12.75">
      <c r="A283" s="367">
        <f t="shared" si="38"/>
        <v>265</v>
      </c>
      <c r="B283" s="368"/>
      <c r="C283" s="377" t="s">
        <v>108</v>
      </c>
      <c r="D283" s="369"/>
      <c r="E283" s="85" t="s">
        <v>250</v>
      </c>
      <c r="F283" s="49">
        <f>+F284+F285</f>
        <v>0</v>
      </c>
      <c r="G283" s="50">
        <f t="shared" si="41"/>
        <v>0</v>
      </c>
      <c r="H283" s="49">
        <f>+H284+H285</f>
        <v>0</v>
      </c>
      <c r="I283" s="49">
        <f>+I284+I285</f>
        <v>0</v>
      </c>
      <c r="J283" s="49">
        <f>+J284+J285</f>
        <v>0</v>
      </c>
      <c r="K283" s="124">
        <f>+K284+K285</f>
        <v>0</v>
      </c>
      <c r="L283" s="21"/>
      <c r="M283" s="21"/>
      <c r="N283" s="167"/>
    </row>
    <row r="284" spans="1:14" ht="12.75">
      <c r="A284" s="367">
        <f t="shared" si="38"/>
        <v>266</v>
      </c>
      <c r="B284" s="368"/>
      <c r="C284" s="368"/>
      <c r="D284" s="379" t="s">
        <v>80</v>
      </c>
      <c r="E284" s="66" t="s">
        <v>277</v>
      </c>
      <c r="F284" s="375"/>
      <c r="G284" s="79">
        <f t="shared" si="41"/>
        <v>0</v>
      </c>
      <c r="H284" s="375"/>
      <c r="I284" s="375"/>
      <c r="J284" s="375"/>
      <c r="K284" s="412"/>
      <c r="L284" s="21"/>
      <c r="M284" s="21"/>
      <c r="N284" s="167"/>
    </row>
    <row r="285" spans="1:14" ht="12.75">
      <c r="A285" s="367">
        <f t="shared" si="38"/>
        <v>267</v>
      </c>
      <c r="B285" s="368"/>
      <c r="C285" s="368"/>
      <c r="D285" s="369">
        <v>50</v>
      </c>
      <c r="E285" s="66" t="s">
        <v>278</v>
      </c>
      <c r="F285" s="375"/>
      <c r="G285" s="79">
        <f t="shared" si="41"/>
        <v>0</v>
      </c>
      <c r="H285" s="375"/>
      <c r="I285" s="375"/>
      <c r="J285" s="375"/>
      <c r="K285" s="412"/>
      <c r="L285" s="21"/>
      <c r="M285" s="21"/>
      <c r="N285" s="167"/>
    </row>
    <row r="286" spans="1:14" ht="12.75">
      <c r="A286" s="367">
        <f t="shared" si="38"/>
        <v>268</v>
      </c>
      <c r="B286" s="368"/>
      <c r="C286" s="377" t="s">
        <v>41</v>
      </c>
      <c r="D286" s="369"/>
      <c r="E286" s="59" t="s">
        <v>253</v>
      </c>
      <c r="F286" s="50">
        <v>0</v>
      </c>
      <c r="G286" s="50">
        <f t="shared" si="41"/>
        <v>0</v>
      </c>
      <c r="H286" s="50">
        <v>0</v>
      </c>
      <c r="I286" s="50">
        <v>0</v>
      </c>
      <c r="J286" s="50">
        <v>0</v>
      </c>
      <c r="K286" s="414">
        <v>0</v>
      </c>
      <c r="L286" s="21"/>
      <c r="M286" s="21"/>
      <c r="N286" s="167"/>
    </row>
    <row r="287" spans="1:14" ht="12.75">
      <c r="A287" s="367">
        <f t="shared" si="38"/>
        <v>269</v>
      </c>
      <c r="B287" s="368"/>
      <c r="C287" s="377" t="s">
        <v>154</v>
      </c>
      <c r="D287" s="369"/>
      <c r="E287" s="85" t="s">
        <v>279</v>
      </c>
      <c r="F287" s="49">
        <f>+F288+F289</f>
        <v>0</v>
      </c>
      <c r="G287" s="50">
        <f t="shared" si="41"/>
        <v>52707.31</v>
      </c>
      <c r="H287" s="49">
        <f>+H288+H289</f>
        <v>27086.6</v>
      </c>
      <c r="I287" s="49">
        <f>+I288+I289</f>
        <v>20977.67</v>
      </c>
      <c r="J287" s="49">
        <f>+J288+J289</f>
        <v>4643.04</v>
      </c>
      <c r="K287" s="124">
        <f>+K288+K289</f>
        <v>0</v>
      </c>
      <c r="L287" s="21"/>
      <c r="M287" s="21"/>
      <c r="N287" s="167"/>
    </row>
    <row r="288" spans="1:22" ht="12.75">
      <c r="A288" s="367">
        <f t="shared" si="38"/>
        <v>270</v>
      </c>
      <c r="B288" s="368"/>
      <c r="C288" s="368"/>
      <c r="D288" s="379" t="s">
        <v>47</v>
      </c>
      <c r="E288" s="66" t="s">
        <v>255</v>
      </c>
      <c r="F288" s="375"/>
      <c r="G288" s="79">
        <f t="shared" si="41"/>
        <v>52707.31</v>
      </c>
      <c r="H288" s="375">
        <v>27086.6</v>
      </c>
      <c r="I288" s="375">
        <v>20977.67</v>
      </c>
      <c r="J288" s="375">
        <v>4643.04</v>
      </c>
      <c r="K288" s="375">
        <v>0</v>
      </c>
      <c r="L288" s="21"/>
      <c r="M288" s="21"/>
      <c r="N288" s="217"/>
      <c r="O288" s="123"/>
      <c r="P288" s="123"/>
      <c r="Q288" s="123"/>
      <c r="R288" s="123"/>
      <c r="S288" s="123"/>
      <c r="T288" s="123"/>
      <c r="U288" s="123"/>
      <c r="V288" s="123"/>
    </row>
    <row r="289" spans="1:22" ht="12.75">
      <c r="A289" s="367">
        <f t="shared" si="38"/>
        <v>271</v>
      </c>
      <c r="B289" s="368"/>
      <c r="C289" s="368"/>
      <c r="D289" s="379" t="s">
        <v>154</v>
      </c>
      <c r="E289" s="66" t="s">
        <v>256</v>
      </c>
      <c r="F289" s="375"/>
      <c r="G289" s="79">
        <f t="shared" si="41"/>
        <v>0</v>
      </c>
      <c r="H289" s="375"/>
      <c r="I289" s="375"/>
      <c r="J289" s="375"/>
      <c r="K289" s="412"/>
      <c r="L289" s="21"/>
      <c r="M289" s="21"/>
      <c r="N289" s="217"/>
      <c r="O289" s="123"/>
      <c r="P289" s="123"/>
      <c r="Q289" s="123"/>
      <c r="R289" s="123"/>
      <c r="S289" s="123"/>
      <c r="T289" s="123"/>
      <c r="U289" s="123"/>
      <c r="V289" s="123"/>
    </row>
    <row r="290" spans="1:22" ht="12.75">
      <c r="A290" s="367">
        <f t="shared" si="38"/>
        <v>272</v>
      </c>
      <c r="B290" s="368"/>
      <c r="C290" s="368">
        <v>10</v>
      </c>
      <c r="D290" s="369"/>
      <c r="E290" s="85" t="s">
        <v>280</v>
      </c>
      <c r="F290" s="415"/>
      <c r="G290" s="79">
        <f t="shared" si="41"/>
        <v>0</v>
      </c>
      <c r="H290" s="415"/>
      <c r="I290" s="415"/>
      <c r="J290" s="415"/>
      <c r="K290" s="479"/>
      <c r="L290" s="21"/>
      <c r="M290" s="21"/>
      <c r="N290" s="217"/>
      <c r="O290" s="123"/>
      <c r="P290" s="214"/>
      <c r="Q290" s="123"/>
      <c r="R290" s="123"/>
      <c r="S290" s="123"/>
      <c r="T290" s="123"/>
      <c r="U290" s="123"/>
      <c r="V290" s="123"/>
    </row>
    <row r="291" spans="1:22" ht="12.75">
      <c r="A291" s="367">
        <f t="shared" si="38"/>
        <v>273</v>
      </c>
      <c r="B291" s="368"/>
      <c r="C291" s="368">
        <v>50</v>
      </c>
      <c r="D291" s="369"/>
      <c r="E291" s="85" t="s">
        <v>281</v>
      </c>
      <c r="F291" s="49">
        <f>+F292+F293</f>
        <v>0</v>
      </c>
      <c r="G291" s="50">
        <f t="shared" si="41"/>
        <v>0</v>
      </c>
      <c r="H291" s="49">
        <f>+H292+H293</f>
        <v>0</v>
      </c>
      <c r="I291" s="49">
        <f>+I292+I293</f>
        <v>0</v>
      </c>
      <c r="J291" s="49">
        <f>+J292+J293</f>
        <v>0</v>
      </c>
      <c r="K291" s="124">
        <f>+K292+K293</f>
        <v>0</v>
      </c>
      <c r="L291" s="21"/>
      <c r="M291" s="21"/>
      <c r="N291" s="217"/>
      <c r="O291" s="123"/>
      <c r="P291" s="123"/>
      <c r="Q291" s="123"/>
      <c r="R291" s="123"/>
      <c r="S291" s="123"/>
      <c r="T291" s="123"/>
      <c r="U291" s="123"/>
      <c r="V291" s="123"/>
    </row>
    <row r="292" spans="1:22" ht="12.75">
      <c r="A292" s="367">
        <f t="shared" si="38"/>
        <v>274</v>
      </c>
      <c r="B292" s="368"/>
      <c r="C292" s="368"/>
      <c r="D292" s="379" t="s">
        <v>47</v>
      </c>
      <c r="E292" s="66" t="s">
        <v>282</v>
      </c>
      <c r="F292" s="375"/>
      <c r="G292" s="79">
        <f t="shared" si="41"/>
        <v>0</v>
      </c>
      <c r="H292" s="375"/>
      <c r="I292" s="375"/>
      <c r="J292" s="375"/>
      <c r="K292" s="412"/>
      <c r="L292" s="21"/>
      <c r="M292" s="21"/>
      <c r="N292" s="217"/>
      <c r="O292" s="214"/>
      <c r="P292" s="214"/>
      <c r="Q292" s="214"/>
      <c r="R292" s="214"/>
      <c r="S292" s="123"/>
      <c r="T292" s="123"/>
      <c r="U292" s="123"/>
      <c r="V292" s="123"/>
    </row>
    <row r="293" spans="1:22" ht="12.75">
      <c r="A293" s="367">
        <f t="shared" si="38"/>
        <v>275</v>
      </c>
      <c r="B293" s="368"/>
      <c r="C293" s="368"/>
      <c r="D293" s="369">
        <v>50</v>
      </c>
      <c r="E293" s="66" t="s">
        <v>283</v>
      </c>
      <c r="F293" s="375"/>
      <c r="G293" s="79">
        <f t="shared" si="41"/>
        <v>0</v>
      </c>
      <c r="H293" s="375"/>
      <c r="I293" s="375"/>
      <c r="J293" s="375"/>
      <c r="K293" s="412"/>
      <c r="L293" s="171"/>
      <c r="M293" s="2"/>
      <c r="N293" s="214"/>
      <c r="O293" s="123"/>
      <c r="P293" s="123"/>
      <c r="Q293" s="123"/>
      <c r="R293" s="123"/>
      <c r="S293" s="123"/>
      <c r="T293" s="123"/>
      <c r="U293" s="123"/>
      <c r="V293" s="123"/>
    </row>
    <row r="294" spans="1:22" ht="12.75">
      <c r="A294" s="367">
        <f t="shared" si="38"/>
        <v>276</v>
      </c>
      <c r="B294" s="368"/>
      <c r="C294" s="368"/>
      <c r="D294" s="369"/>
      <c r="E294" s="407" t="s">
        <v>284</v>
      </c>
      <c r="F294" s="49">
        <f>+F296+F384</f>
        <v>0</v>
      </c>
      <c r="G294" s="50">
        <f t="shared" si="41"/>
        <v>18614</v>
      </c>
      <c r="H294" s="49">
        <f>+H296+H384</f>
        <v>7538</v>
      </c>
      <c r="I294" s="49">
        <f>+I296+I384</f>
        <v>6615</v>
      </c>
      <c r="J294" s="49">
        <f>+J296+J384</f>
        <v>4461</v>
      </c>
      <c r="K294" s="124">
        <f>+K296+K384</f>
        <v>0</v>
      </c>
      <c r="L294" s="21"/>
      <c r="M294" s="124"/>
      <c r="N294" s="124"/>
      <c r="O294" s="215"/>
      <c r="P294" s="215"/>
      <c r="Q294" s="216"/>
      <c r="R294" s="216"/>
      <c r="S294" s="123"/>
      <c r="T294" s="123"/>
      <c r="U294" s="123"/>
      <c r="V294" s="123"/>
    </row>
    <row r="295" spans="1:22" ht="12.75">
      <c r="A295" s="367"/>
      <c r="B295" s="368" t="s">
        <v>59</v>
      </c>
      <c r="C295" s="368" t="s">
        <v>60</v>
      </c>
      <c r="D295" s="86" t="s">
        <v>61</v>
      </c>
      <c r="E295" s="66"/>
      <c r="F295" s="79"/>
      <c r="G295" s="79"/>
      <c r="H295" s="79"/>
      <c r="I295" s="79"/>
      <c r="J295" s="79"/>
      <c r="K295" s="393"/>
      <c r="L295" s="21"/>
      <c r="N295" s="218"/>
      <c r="O295" s="217"/>
      <c r="P295" s="217"/>
      <c r="Q295" s="218"/>
      <c r="R295" s="218"/>
      <c r="S295" s="123"/>
      <c r="T295" s="123"/>
      <c r="U295" s="123"/>
      <c r="V295" s="123"/>
    </row>
    <row r="296" spans="1:22" ht="12.75">
      <c r="A296" s="367">
        <f>A294+1</f>
        <v>277</v>
      </c>
      <c r="B296" s="368"/>
      <c r="C296" s="368"/>
      <c r="D296" s="86"/>
      <c r="E296" s="85" t="s">
        <v>285</v>
      </c>
      <c r="F296" s="49">
        <f>+F297+F331+F373+F376+F377</f>
        <v>0</v>
      </c>
      <c r="G296" s="50">
        <f aca="true" t="shared" si="43" ref="G296:G359">H296+I296+J296+K296</f>
        <v>17314</v>
      </c>
      <c r="H296" s="166">
        <f>+H297+H331+H373</f>
        <v>6238</v>
      </c>
      <c r="I296" s="166">
        <f>+I297+I331+I373</f>
        <v>6615</v>
      </c>
      <c r="J296" s="166">
        <f>+J297+J331+J373</f>
        <v>4461</v>
      </c>
      <c r="K296" s="166">
        <f>+K297+K331+K373</f>
        <v>0</v>
      </c>
      <c r="L296" s="21"/>
      <c r="M296" s="166"/>
      <c r="N296" s="166"/>
      <c r="O296" s="215"/>
      <c r="P296" s="215"/>
      <c r="Q296" s="216"/>
      <c r="R296" s="216"/>
      <c r="S296" s="219"/>
      <c r="T296" s="99"/>
      <c r="U296" s="123"/>
      <c r="V296" s="123"/>
    </row>
    <row r="297" spans="1:22" ht="12.75">
      <c r="A297" s="367">
        <f aca="true" t="shared" si="44" ref="A297:A360">A296+1</f>
        <v>278</v>
      </c>
      <c r="B297" s="368">
        <v>10</v>
      </c>
      <c r="C297" s="368"/>
      <c r="D297" s="86"/>
      <c r="E297" s="85" t="s">
        <v>286</v>
      </c>
      <c r="F297" s="49">
        <f>+F298+F316+F323</f>
        <v>0</v>
      </c>
      <c r="G297" s="50">
        <f t="shared" si="43"/>
        <v>14779.6</v>
      </c>
      <c r="H297" s="166">
        <f>+H298+H316+H323</f>
        <v>5168.76</v>
      </c>
      <c r="I297" s="166">
        <f>+I298+I316+I323</f>
        <v>5708.85</v>
      </c>
      <c r="J297" s="166">
        <f>+J298+J316+J323</f>
        <v>3901.9900000000002</v>
      </c>
      <c r="K297" s="166">
        <f>+K298+K316+K323</f>
        <v>0</v>
      </c>
      <c r="L297" s="21"/>
      <c r="M297" s="166"/>
      <c r="N297" s="166"/>
      <c r="O297" s="217"/>
      <c r="P297" s="217"/>
      <c r="Q297" s="218"/>
      <c r="R297" s="218"/>
      <c r="S297" s="219"/>
      <c r="T297" s="99"/>
      <c r="U297" s="123"/>
      <c r="V297" s="123"/>
    </row>
    <row r="298" spans="1:22" ht="12.75">
      <c r="A298" s="367">
        <f t="shared" si="44"/>
        <v>279</v>
      </c>
      <c r="B298" s="368"/>
      <c r="C298" s="377" t="s">
        <v>47</v>
      </c>
      <c r="D298" s="369"/>
      <c r="E298" s="85" t="s">
        <v>142</v>
      </c>
      <c r="F298" s="49">
        <f>+F299+F300+F301+F302+F303+F304+F305+F306+F307+F308+F309+F310+F311+F312+F313+F314+F315</f>
        <v>0</v>
      </c>
      <c r="G298" s="50">
        <f t="shared" si="43"/>
        <v>10916.13</v>
      </c>
      <c r="H298" s="166">
        <f>+H299+H300+H301+H302+H303+H304+H305+H306+H307+H308+H309+H310+H311+H312+H313+H314+H315</f>
        <v>3914.39</v>
      </c>
      <c r="I298" s="166">
        <f>+I299+I300+I301+I302+I303+I304+I305+I306+I307+I308+I309+I310+I311+I312+I313+I314+I315</f>
        <v>4153.92</v>
      </c>
      <c r="J298" s="166">
        <f>+J299+J300+J301+J302+J303+J304+J305+J306+J307+J308+J309+J310+J311+J312+J313+J314+J315</f>
        <v>2847.82</v>
      </c>
      <c r="K298" s="166">
        <f>+K299+K300+K301+K302+K303+K304+K305+K306+K307+K308+K309+K310+K311+K312+K313+K314+K315</f>
        <v>0</v>
      </c>
      <c r="L298" s="21"/>
      <c r="M298" s="166"/>
      <c r="N298" s="166"/>
      <c r="O298" s="217"/>
      <c r="P298" s="217"/>
      <c r="Q298" s="218"/>
      <c r="R298" s="218"/>
      <c r="S298" s="220"/>
      <c r="T298" s="130"/>
      <c r="U298" s="123"/>
      <c r="V298" s="123"/>
    </row>
    <row r="299" spans="1:22" ht="12.75">
      <c r="A299" s="367">
        <f t="shared" si="44"/>
        <v>280</v>
      </c>
      <c r="B299" s="368"/>
      <c r="C299" s="368"/>
      <c r="D299" s="379" t="s">
        <v>47</v>
      </c>
      <c r="E299" s="66" t="s">
        <v>144</v>
      </c>
      <c r="F299" s="416"/>
      <c r="G299" s="79">
        <f t="shared" si="43"/>
        <v>8326.86</v>
      </c>
      <c r="H299" s="462">
        <v>2954.55</v>
      </c>
      <c r="I299" s="462">
        <f>3196.01+242.73-135-120</f>
        <v>3183.7400000000002</v>
      </c>
      <c r="J299" s="462">
        <v>2188.57</v>
      </c>
      <c r="K299" s="462"/>
      <c r="L299" s="21">
        <v>8326.86</v>
      </c>
      <c r="M299" s="230">
        <f>L299-G299+J299</f>
        <v>2188.57</v>
      </c>
      <c r="N299" s="218"/>
      <c r="O299" s="217"/>
      <c r="P299" s="217"/>
      <c r="Q299" s="218"/>
      <c r="R299" s="218"/>
      <c r="S299" s="219"/>
      <c r="T299" s="221"/>
      <c r="U299" s="123"/>
      <c r="V299" s="123"/>
    </row>
    <row r="300" spans="1:22" ht="12.75">
      <c r="A300" s="367">
        <f t="shared" si="44"/>
        <v>281</v>
      </c>
      <c r="B300" s="368"/>
      <c r="C300" s="368"/>
      <c r="D300" s="379" t="s">
        <v>80</v>
      </c>
      <c r="E300" s="66" t="s">
        <v>146</v>
      </c>
      <c r="F300" s="416"/>
      <c r="G300" s="79">
        <f t="shared" si="43"/>
        <v>0</v>
      </c>
      <c r="H300" s="462">
        <v>0</v>
      </c>
      <c r="I300" s="462">
        <v>0</v>
      </c>
      <c r="J300" s="462">
        <v>0</v>
      </c>
      <c r="K300" s="462"/>
      <c r="L300" s="21"/>
      <c r="M300" s="230">
        <f aca="true" t="shared" si="45" ref="M300:M356">L300-G300+J300</f>
        <v>0</v>
      </c>
      <c r="N300" s="218"/>
      <c r="O300" s="217"/>
      <c r="P300" s="217"/>
      <c r="Q300" s="218"/>
      <c r="R300" s="218"/>
      <c r="S300" s="219"/>
      <c r="T300" s="221"/>
      <c r="U300" s="123"/>
      <c r="V300" s="123"/>
    </row>
    <row r="301" spans="1:22" ht="12.75">
      <c r="A301" s="367">
        <f t="shared" si="44"/>
        <v>282</v>
      </c>
      <c r="B301" s="368"/>
      <c r="C301" s="368"/>
      <c r="D301" s="379" t="s">
        <v>84</v>
      </c>
      <c r="E301" s="66" t="s">
        <v>148</v>
      </c>
      <c r="F301" s="416"/>
      <c r="G301" s="79">
        <f t="shared" si="43"/>
        <v>0</v>
      </c>
      <c r="H301" s="462">
        <v>0</v>
      </c>
      <c r="I301" s="462">
        <v>0</v>
      </c>
      <c r="J301" s="462">
        <v>0</v>
      </c>
      <c r="K301" s="462"/>
      <c r="L301" s="21"/>
      <c r="M301" s="230">
        <f t="shared" si="45"/>
        <v>0</v>
      </c>
      <c r="N301" s="218"/>
      <c r="O301" s="217"/>
      <c r="P301" s="217"/>
      <c r="Q301" s="218"/>
      <c r="R301" s="218"/>
      <c r="S301" s="219"/>
      <c r="T301" s="221"/>
      <c r="U301" s="123"/>
      <c r="V301" s="123"/>
    </row>
    <row r="302" spans="1:22" ht="12.75">
      <c r="A302" s="367">
        <f t="shared" si="44"/>
        <v>283</v>
      </c>
      <c r="B302" s="368"/>
      <c r="C302" s="368"/>
      <c r="D302" s="379" t="s">
        <v>108</v>
      </c>
      <c r="E302" s="66" t="s">
        <v>150</v>
      </c>
      <c r="F302" s="416"/>
      <c r="G302" s="79">
        <f t="shared" si="43"/>
        <v>0</v>
      </c>
      <c r="H302" s="462">
        <v>0</v>
      </c>
      <c r="I302" s="462">
        <v>0</v>
      </c>
      <c r="J302" s="462">
        <v>0</v>
      </c>
      <c r="K302" s="462"/>
      <c r="L302" s="21"/>
      <c r="M302" s="230">
        <f t="shared" si="45"/>
        <v>0</v>
      </c>
      <c r="N302" s="218"/>
      <c r="O302" s="217"/>
      <c r="P302" s="217"/>
      <c r="Q302" s="218"/>
      <c r="R302" s="218"/>
      <c r="S302" s="219"/>
      <c r="T302" s="221"/>
      <c r="U302" s="123"/>
      <c r="V302" s="123"/>
    </row>
    <row r="303" spans="1:22" ht="12.75">
      <c r="A303" s="367">
        <f t="shared" si="44"/>
        <v>284</v>
      </c>
      <c r="B303" s="368"/>
      <c r="C303" s="368"/>
      <c r="D303" s="379" t="s">
        <v>41</v>
      </c>
      <c r="E303" s="66" t="s">
        <v>152</v>
      </c>
      <c r="F303" s="416"/>
      <c r="G303" s="79">
        <f t="shared" si="43"/>
        <v>2026.4</v>
      </c>
      <c r="H303" s="462">
        <v>755.7</v>
      </c>
      <c r="I303" s="462">
        <v>762.47</v>
      </c>
      <c r="J303" s="462">
        <v>508.23</v>
      </c>
      <c r="K303" s="462"/>
      <c r="L303" s="21">
        <v>2026.4</v>
      </c>
      <c r="M303" s="230">
        <f t="shared" si="45"/>
        <v>508.23</v>
      </c>
      <c r="N303" s="218"/>
      <c r="O303" s="217"/>
      <c r="P303" s="217"/>
      <c r="Q303" s="218"/>
      <c r="R303" s="218"/>
      <c r="S303" s="219"/>
      <c r="T303" s="221"/>
      <c r="U303" s="123"/>
      <c r="V303" s="123"/>
    </row>
    <row r="304" spans="1:22" ht="12.75">
      <c r="A304" s="367">
        <f t="shared" si="44"/>
        <v>285</v>
      </c>
      <c r="B304" s="368"/>
      <c r="C304" s="368"/>
      <c r="D304" s="379" t="s">
        <v>154</v>
      </c>
      <c r="E304" s="66" t="s">
        <v>155</v>
      </c>
      <c r="F304" s="416"/>
      <c r="G304" s="79">
        <f t="shared" si="43"/>
        <v>247.48999999999998</v>
      </c>
      <c r="H304" s="77">
        <v>94.85</v>
      </c>
      <c r="I304" s="77">
        <v>92.17</v>
      </c>
      <c r="J304" s="77">
        <v>60.47</v>
      </c>
      <c r="K304" s="77"/>
      <c r="L304" s="21">
        <v>247.49</v>
      </c>
      <c r="M304" s="230">
        <f t="shared" si="45"/>
        <v>60.47000000000003</v>
      </c>
      <c r="N304" s="218"/>
      <c r="O304" s="217"/>
      <c r="P304" s="217"/>
      <c r="Q304" s="218"/>
      <c r="R304" s="218"/>
      <c r="S304" s="219"/>
      <c r="T304" s="221"/>
      <c r="U304" s="123"/>
      <c r="V304" s="123"/>
    </row>
    <row r="305" spans="1:22" ht="12.75">
      <c r="A305" s="367">
        <f t="shared" si="44"/>
        <v>286</v>
      </c>
      <c r="B305" s="368"/>
      <c r="C305" s="368"/>
      <c r="D305" s="379" t="s">
        <v>157</v>
      </c>
      <c r="E305" s="66" t="s">
        <v>158</v>
      </c>
      <c r="F305" s="416"/>
      <c r="G305" s="79">
        <f t="shared" si="43"/>
        <v>0</v>
      </c>
      <c r="H305" s="77">
        <v>0</v>
      </c>
      <c r="I305" s="77">
        <v>0</v>
      </c>
      <c r="J305" s="77">
        <v>0</v>
      </c>
      <c r="K305" s="77"/>
      <c r="L305" s="21"/>
      <c r="M305" s="230">
        <f t="shared" si="45"/>
        <v>0</v>
      </c>
      <c r="N305" s="218"/>
      <c r="O305" s="217"/>
      <c r="P305" s="217"/>
      <c r="Q305" s="218"/>
      <c r="R305" s="218"/>
      <c r="S305" s="219"/>
      <c r="T305" s="221"/>
      <c r="U305" s="123"/>
      <c r="V305" s="123"/>
    </row>
    <row r="306" spans="1:22" ht="12.75">
      <c r="A306" s="367">
        <f t="shared" si="44"/>
        <v>287</v>
      </c>
      <c r="B306" s="368"/>
      <c r="C306" s="368"/>
      <c r="D306" s="379" t="s">
        <v>65</v>
      </c>
      <c r="E306" s="66" t="s">
        <v>159</v>
      </c>
      <c r="F306" s="416"/>
      <c r="G306" s="79">
        <f t="shared" si="43"/>
        <v>0</v>
      </c>
      <c r="H306" s="77">
        <v>0</v>
      </c>
      <c r="I306" s="77">
        <v>0</v>
      </c>
      <c r="J306" s="77">
        <v>0</v>
      </c>
      <c r="K306" s="77"/>
      <c r="L306" s="21"/>
      <c r="M306" s="230">
        <f t="shared" si="45"/>
        <v>0</v>
      </c>
      <c r="N306" s="218"/>
      <c r="O306" s="217"/>
      <c r="P306" s="217"/>
      <c r="Q306" s="218"/>
      <c r="R306" s="218"/>
      <c r="S306" s="219"/>
      <c r="T306" s="221"/>
      <c r="U306" s="123"/>
      <c r="V306" s="123"/>
    </row>
    <row r="307" spans="1:22" ht="12.75">
      <c r="A307" s="367">
        <f t="shared" si="44"/>
        <v>288</v>
      </c>
      <c r="B307" s="368"/>
      <c r="C307" s="368"/>
      <c r="D307" s="379" t="s">
        <v>160</v>
      </c>
      <c r="E307" s="66" t="s">
        <v>264</v>
      </c>
      <c r="F307" s="416"/>
      <c r="G307" s="79">
        <f t="shared" si="43"/>
        <v>0</v>
      </c>
      <c r="H307" s="77">
        <v>0</v>
      </c>
      <c r="I307" s="77">
        <v>0</v>
      </c>
      <c r="J307" s="77">
        <v>0</v>
      </c>
      <c r="K307" s="77"/>
      <c r="L307" s="21"/>
      <c r="M307" s="230">
        <f t="shared" si="45"/>
        <v>0</v>
      </c>
      <c r="N307" s="218"/>
      <c r="O307" s="217"/>
      <c r="P307" s="217"/>
      <c r="Q307" s="218"/>
      <c r="R307" s="218"/>
      <c r="S307" s="219"/>
      <c r="T307" s="221"/>
      <c r="U307" s="123"/>
      <c r="V307" s="123"/>
    </row>
    <row r="308" spans="1:22" ht="12.75">
      <c r="A308" s="367">
        <f t="shared" si="44"/>
        <v>289</v>
      </c>
      <c r="B308" s="368"/>
      <c r="C308" s="368"/>
      <c r="D308" s="369">
        <v>10</v>
      </c>
      <c r="E308" s="66" t="s">
        <v>162</v>
      </c>
      <c r="F308" s="416"/>
      <c r="G308" s="79">
        <f t="shared" si="43"/>
        <v>0</v>
      </c>
      <c r="H308" s="77">
        <v>0</v>
      </c>
      <c r="I308" s="77">
        <v>0</v>
      </c>
      <c r="J308" s="77">
        <v>0</v>
      </c>
      <c r="K308" s="77"/>
      <c r="L308" s="21"/>
      <c r="M308" s="230">
        <f t="shared" si="45"/>
        <v>0</v>
      </c>
      <c r="N308" s="218"/>
      <c r="O308" s="217"/>
      <c r="P308" s="217"/>
      <c r="Q308" s="218"/>
      <c r="R308" s="218"/>
      <c r="S308" s="219"/>
      <c r="T308" s="130"/>
      <c r="U308" s="123"/>
      <c r="V308" s="123"/>
    </row>
    <row r="309" spans="1:22" ht="12.75">
      <c r="A309" s="367">
        <f t="shared" si="44"/>
        <v>290</v>
      </c>
      <c r="B309" s="368"/>
      <c r="C309" s="368"/>
      <c r="D309" s="369">
        <v>11</v>
      </c>
      <c r="E309" s="66" t="s">
        <v>163</v>
      </c>
      <c r="F309" s="416"/>
      <c r="G309" s="79">
        <f t="shared" si="43"/>
        <v>315.38</v>
      </c>
      <c r="H309" s="77">
        <v>109.29</v>
      </c>
      <c r="I309" s="77">
        <v>115.54</v>
      </c>
      <c r="J309" s="77">
        <v>90.55</v>
      </c>
      <c r="K309" s="77"/>
      <c r="L309" s="21">
        <v>315.38</v>
      </c>
      <c r="M309" s="230">
        <f t="shared" si="45"/>
        <v>90.55</v>
      </c>
      <c r="N309" s="218"/>
      <c r="O309" s="217"/>
      <c r="P309" s="217"/>
      <c r="Q309" s="218"/>
      <c r="R309" s="218"/>
      <c r="S309" s="219"/>
      <c r="T309" s="130"/>
      <c r="U309" s="123"/>
      <c r="V309" s="123"/>
    </row>
    <row r="310" spans="1:22" ht="12.75">
      <c r="A310" s="367">
        <f t="shared" si="44"/>
        <v>291</v>
      </c>
      <c r="B310" s="368"/>
      <c r="C310" s="368"/>
      <c r="D310" s="369">
        <v>12</v>
      </c>
      <c r="E310" s="66" t="s">
        <v>164</v>
      </c>
      <c r="F310" s="416"/>
      <c r="G310" s="79">
        <f t="shared" si="43"/>
        <v>0</v>
      </c>
      <c r="H310" s="77">
        <v>0</v>
      </c>
      <c r="I310" s="77">
        <v>0</v>
      </c>
      <c r="J310" s="77">
        <v>0</v>
      </c>
      <c r="K310" s="77"/>
      <c r="L310" s="21"/>
      <c r="M310" s="230">
        <f t="shared" si="45"/>
        <v>0</v>
      </c>
      <c r="N310" s="218"/>
      <c r="O310" s="217"/>
      <c r="P310" s="217"/>
      <c r="Q310" s="218"/>
      <c r="R310" s="218"/>
      <c r="S310" s="219"/>
      <c r="T310" s="130"/>
      <c r="U310" s="123"/>
      <c r="V310" s="123"/>
    </row>
    <row r="311" spans="1:22" ht="12.75">
      <c r="A311" s="367">
        <f t="shared" si="44"/>
        <v>292</v>
      </c>
      <c r="B311" s="368"/>
      <c r="C311" s="368"/>
      <c r="D311" s="369">
        <v>13</v>
      </c>
      <c r="E311" s="66" t="s">
        <v>165</v>
      </c>
      <c r="F311" s="416"/>
      <c r="G311" s="79">
        <f t="shared" si="43"/>
        <v>0</v>
      </c>
      <c r="H311" s="77">
        <v>0</v>
      </c>
      <c r="I311" s="77">
        <v>0</v>
      </c>
      <c r="J311" s="77">
        <v>0</v>
      </c>
      <c r="K311" s="77"/>
      <c r="L311" s="21"/>
      <c r="M311" s="230">
        <f t="shared" si="45"/>
        <v>0</v>
      </c>
      <c r="N311" s="218"/>
      <c r="O311" s="217"/>
      <c r="P311" s="217"/>
      <c r="Q311" s="218"/>
      <c r="R311" s="218"/>
      <c r="S311" s="219"/>
      <c r="T311" s="130"/>
      <c r="U311" s="123"/>
      <c r="V311" s="123"/>
    </row>
    <row r="312" spans="1:22" ht="12.75">
      <c r="A312" s="367">
        <f t="shared" si="44"/>
        <v>293</v>
      </c>
      <c r="B312" s="368"/>
      <c r="C312" s="368"/>
      <c r="D312" s="369">
        <v>14</v>
      </c>
      <c r="E312" s="66" t="s">
        <v>166</v>
      </c>
      <c r="F312" s="416"/>
      <c r="G312" s="79">
        <f t="shared" si="43"/>
        <v>0</v>
      </c>
      <c r="H312" s="77">
        <v>0</v>
      </c>
      <c r="I312" s="77">
        <v>0</v>
      </c>
      <c r="J312" s="77">
        <v>0</v>
      </c>
      <c r="K312" s="77"/>
      <c r="L312" s="21"/>
      <c r="M312" s="230">
        <f t="shared" si="45"/>
        <v>0</v>
      </c>
      <c r="N312" s="218"/>
      <c r="O312" s="217"/>
      <c r="P312" s="217"/>
      <c r="Q312" s="218"/>
      <c r="R312" s="218"/>
      <c r="S312" s="219"/>
      <c r="T312" s="130"/>
      <c r="U312" s="123"/>
      <c r="V312" s="123"/>
    </row>
    <row r="313" spans="1:22" ht="12.75">
      <c r="A313" s="367">
        <f t="shared" si="44"/>
        <v>294</v>
      </c>
      <c r="B313" s="368"/>
      <c r="C313" s="368"/>
      <c r="D313" s="369">
        <v>15</v>
      </c>
      <c r="E313" s="66" t="s">
        <v>167</v>
      </c>
      <c r="F313" s="416"/>
      <c r="G313" s="79">
        <f t="shared" si="43"/>
        <v>0</v>
      </c>
      <c r="H313" s="77">
        <v>0</v>
      </c>
      <c r="I313" s="77">
        <v>0</v>
      </c>
      <c r="J313" s="77">
        <v>0</v>
      </c>
      <c r="K313" s="77"/>
      <c r="L313" s="21"/>
      <c r="M313" s="230">
        <f t="shared" si="45"/>
        <v>0</v>
      </c>
      <c r="N313" s="218"/>
      <c r="O313" s="217"/>
      <c r="P313" s="217"/>
      <c r="Q313" s="218"/>
      <c r="R313" s="218"/>
      <c r="S313" s="219"/>
      <c r="T313" s="130"/>
      <c r="U313" s="123"/>
      <c r="V313" s="123"/>
    </row>
    <row r="314" spans="1:22" ht="12.75">
      <c r="A314" s="367">
        <f t="shared" si="44"/>
        <v>295</v>
      </c>
      <c r="B314" s="368"/>
      <c r="C314" s="368"/>
      <c r="D314" s="369">
        <v>16</v>
      </c>
      <c r="E314" s="66" t="s">
        <v>168</v>
      </c>
      <c r="F314" s="416"/>
      <c r="G314" s="79">
        <f t="shared" si="43"/>
        <v>0</v>
      </c>
      <c r="H314" s="77">
        <v>0</v>
      </c>
      <c r="I314" s="77">
        <v>0</v>
      </c>
      <c r="J314" s="77">
        <v>0</v>
      </c>
      <c r="K314" s="77"/>
      <c r="L314" s="21"/>
      <c r="M314" s="230">
        <f t="shared" si="45"/>
        <v>0</v>
      </c>
      <c r="N314" s="218"/>
      <c r="O314" s="217"/>
      <c r="P314" s="217"/>
      <c r="Q314" s="218"/>
      <c r="R314" s="218"/>
      <c r="S314" s="219"/>
      <c r="T314" s="130"/>
      <c r="U314" s="123"/>
      <c r="V314" s="123"/>
    </row>
    <row r="315" spans="1:22" ht="12.75">
      <c r="A315" s="367">
        <f t="shared" si="44"/>
        <v>296</v>
      </c>
      <c r="B315" s="368"/>
      <c r="C315" s="368"/>
      <c r="D315" s="369">
        <v>30</v>
      </c>
      <c r="E315" s="66" t="s">
        <v>169</v>
      </c>
      <c r="F315" s="416"/>
      <c r="G315" s="79">
        <f t="shared" si="43"/>
        <v>0</v>
      </c>
      <c r="H315" s="77">
        <v>0</v>
      </c>
      <c r="I315" s="77">
        <v>0</v>
      </c>
      <c r="J315" s="77">
        <v>0</v>
      </c>
      <c r="K315" s="77"/>
      <c r="L315" s="21"/>
      <c r="M315" s="230">
        <f t="shared" si="45"/>
        <v>0</v>
      </c>
      <c r="N315" s="218"/>
      <c r="O315" s="217"/>
      <c r="P315" s="217"/>
      <c r="Q315" s="218"/>
      <c r="R315" s="218"/>
      <c r="S315" s="219"/>
      <c r="T315" s="130"/>
      <c r="U315" s="123"/>
      <c r="V315" s="123"/>
    </row>
    <row r="316" spans="1:22" ht="12.75">
      <c r="A316" s="367">
        <f t="shared" si="44"/>
        <v>297</v>
      </c>
      <c r="B316" s="368"/>
      <c r="C316" s="377" t="s">
        <v>80</v>
      </c>
      <c r="D316" s="369"/>
      <c r="E316" s="85" t="s">
        <v>170</v>
      </c>
      <c r="F316" s="49">
        <f>+F317+F318+F319+F320+F321+F322</f>
        <v>0</v>
      </c>
      <c r="G316" s="50">
        <f t="shared" si="43"/>
        <v>771.99</v>
      </c>
      <c r="H316" s="166">
        <f>+H317+H318+H319+H320+H321+H322</f>
        <v>149.66</v>
      </c>
      <c r="I316" s="166">
        <f>+I317+I318+I319+I320+I321+I322</f>
        <v>381.87</v>
      </c>
      <c r="J316" s="166">
        <f>+J317+J318+J319+J320+J321+J322</f>
        <v>240.46</v>
      </c>
      <c r="K316" s="166">
        <f>+K317+K318+K319+K320+K321+K322</f>
        <v>0</v>
      </c>
      <c r="L316" s="21"/>
      <c r="M316" s="230">
        <f t="shared" si="45"/>
        <v>-531.53</v>
      </c>
      <c r="N316" s="218"/>
      <c r="O316" s="217"/>
      <c r="P316" s="217"/>
      <c r="Q316" s="218"/>
      <c r="R316" s="218"/>
      <c r="S316" s="220"/>
      <c r="T316" s="130"/>
      <c r="U316" s="123"/>
      <c r="V316" s="123"/>
    </row>
    <row r="317" spans="1:22" ht="12.75">
      <c r="A317" s="367">
        <f t="shared" si="44"/>
        <v>298</v>
      </c>
      <c r="B317" s="368"/>
      <c r="C317" s="368"/>
      <c r="D317" s="379" t="s">
        <v>47</v>
      </c>
      <c r="E317" s="66" t="s">
        <v>265</v>
      </c>
      <c r="F317" s="416"/>
      <c r="G317" s="79">
        <f t="shared" si="43"/>
        <v>771.99</v>
      </c>
      <c r="H317" s="462">
        <f>153.59-3.93</f>
        <v>149.66</v>
      </c>
      <c r="I317" s="462">
        <f>369.6-242.73+135+120</f>
        <v>381.87</v>
      </c>
      <c r="J317" s="462">
        <v>240.46</v>
      </c>
      <c r="K317" s="462"/>
      <c r="L317" s="21">
        <v>771.99</v>
      </c>
      <c r="M317" s="230">
        <f t="shared" si="45"/>
        <v>240.46</v>
      </c>
      <c r="N317" s="218"/>
      <c r="O317" s="217"/>
      <c r="P317" s="217"/>
      <c r="Q317" s="218"/>
      <c r="R317" s="218"/>
      <c r="S317" s="219"/>
      <c r="T317" s="221"/>
      <c r="U317" s="123"/>
      <c r="V317" s="123"/>
    </row>
    <row r="318" spans="1:22" ht="12.75">
      <c r="A318" s="367">
        <f t="shared" si="44"/>
        <v>299</v>
      </c>
      <c r="B318" s="368"/>
      <c r="C318" s="368"/>
      <c r="D318" s="379" t="s">
        <v>80</v>
      </c>
      <c r="E318" s="66" t="s">
        <v>266</v>
      </c>
      <c r="F318" s="375"/>
      <c r="G318" s="79">
        <f t="shared" si="43"/>
        <v>0</v>
      </c>
      <c r="H318" s="77">
        <v>0</v>
      </c>
      <c r="I318" s="77">
        <v>0</v>
      </c>
      <c r="J318" s="77">
        <v>0</v>
      </c>
      <c r="K318" s="77"/>
      <c r="L318" s="21"/>
      <c r="M318" s="230">
        <f t="shared" si="45"/>
        <v>0</v>
      </c>
      <c r="N318" s="218"/>
      <c r="O318" s="217"/>
      <c r="P318" s="217"/>
      <c r="Q318" s="218"/>
      <c r="R318" s="218"/>
      <c r="S318" s="219"/>
      <c r="T318" s="221"/>
      <c r="U318" s="123"/>
      <c r="V318" s="123"/>
    </row>
    <row r="319" spans="1:22" ht="12.75">
      <c r="A319" s="367">
        <f t="shared" si="44"/>
        <v>300</v>
      </c>
      <c r="B319" s="368"/>
      <c r="C319" s="368"/>
      <c r="D319" s="379" t="s">
        <v>84</v>
      </c>
      <c r="E319" s="66" t="s">
        <v>173</v>
      </c>
      <c r="F319" s="375"/>
      <c r="G319" s="79">
        <f t="shared" si="43"/>
        <v>0</v>
      </c>
      <c r="H319" s="77">
        <v>0</v>
      </c>
      <c r="I319" s="77">
        <v>0</v>
      </c>
      <c r="J319" s="77">
        <v>0</v>
      </c>
      <c r="K319" s="77"/>
      <c r="L319" s="21"/>
      <c r="M319" s="230">
        <f t="shared" si="45"/>
        <v>0</v>
      </c>
      <c r="N319" s="218"/>
      <c r="O319" s="217"/>
      <c r="P319" s="217"/>
      <c r="Q319" s="218"/>
      <c r="R319" s="218"/>
      <c r="S319" s="219"/>
      <c r="T319" s="221"/>
      <c r="U319" s="123"/>
      <c r="V319" s="123"/>
    </row>
    <row r="320" spans="1:22" ht="12.75">
      <c r="A320" s="367">
        <f t="shared" si="44"/>
        <v>301</v>
      </c>
      <c r="B320" s="368"/>
      <c r="C320" s="368"/>
      <c r="D320" s="379" t="s">
        <v>108</v>
      </c>
      <c r="E320" s="66" t="s">
        <v>267</v>
      </c>
      <c r="F320" s="375"/>
      <c r="G320" s="79">
        <f t="shared" si="43"/>
        <v>0</v>
      </c>
      <c r="H320" s="77">
        <v>0</v>
      </c>
      <c r="I320" s="77">
        <v>0</v>
      </c>
      <c r="J320" s="77">
        <v>0</v>
      </c>
      <c r="K320" s="77"/>
      <c r="L320" s="21"/>
      <c r="M320" s="230">
        <f t="shared" si="45"/>
        <v>0</v>
      </c>
      <c r="N320" s="218"/>
      <c r="O320" s="217"/>
      <c r="P320" s="217"/>
      <c r="Q320" s="218"/>
      <c r="R320" s="218"/>
      <c r="S320" s="219"/>
      <c r="T320" s="221"/>
      <c r="U320" s="123"/>
      <c r="V320" s="123"/>
    </row>
    <row r="321" spans="1:22" ht="12.75">
      <c r="A321" s="367">
        <f t="shared" si="44"/>
        <v>302</v>
      </c>
      <c r="B321" s="368"/>
      <c r="C321" s="368"/>
      <c r="D321" s="379" t="s">
        <v>41</v>
      </c>
      <c r="E321" s="66" t="s">
        <v>268</v>
      </c>
      <c r="F321" s="375"/>
      <c r="G321" s="79">
        <f t="shared" si="43"/>
        <v>0</v>
      </c>
      <c r="H321" s="77">
        <v>0</v>
      </c>
      <c r="I321" s="77">
        <v>0</v>
      </c>
      <c r="J321" s="77">
        <v>0</v>
      </c>
      <c r="K321" s="77"/>
      <c r="L321" s="21"/>
      <c r="M321" s="230">
        <f t="shared" si="45"/>
        <v>0</v>
      </c>
      <c r="N321" s="218"/>
      <c r="O321" s="217"/>
      <c r="P321" s="217"/>
      <c r="Q321" s="218"/>
      <c r="R321" s="218"/>
      <c r="S321" s="219"/>
      <c r="T321" s="221"/>
      <c r="U321" s="123"/>
      <c r="V321" s="123"/>
    </row>
    <row r="322" spans="1:22" ht="12.75">
      <c r="A322" s="367">
        <f t="shared" si="44"/>
        <v>303</v>
      </c>
      <c r="B322" s="368"/>
      <c r="C322" s="368"/>
      <c r="D322" s="369">
        <v>30</v>
      </c>
      <c r="E322" s="66" t="s">
        <v>176</v>
      </c>
      <c r="F322" s="375"/>
      <c r="G322" s="79">
        <f t="shared" si="43"/>
        <v>0</v>
      </c>
      <c r="H322" s="77">
        <v>0</v>
      </c>
      <c r="I322" s="77">
        <v>0</v>
      </c>
      <c r="J322" s="77">
        <v>0</v>
      </c>
      <c r="K322" s="77"/>
      <c r="L322" s="21"/>
      <c r="M322" s="230">
        <f t="shared" si="45"/>
        <v>0</v>
      </c>
      <c r="N322" s="218"/>
      <c r="O322" s="217"/>
      <c r="P322" s="217"/>
      <c r="Q322" s="218"/>
      <c r="R322" s="218"/>
      <c r="S322" s="219"/>
      <c r="T322" s="130"/>
      <c r="U322" s="123"/>
      <c r="V322" s="123"/>
    </row>
    <row r="323" spans="1:22" ht="12.75">
      <c r="A323" s="367">
        <f t="shared" si="44"/>
        <v>304</v>
      </c>
      <c r="B323" s="368"/>
      <c r="C323" s="377" t="s">
        <v>84</v>
      </c>
      <c r="D323" s="369"/>
      <c r="E323" s="85" t="s">
        <v>177</v>
      </c>
      <c r="F323" s="49">
        <f>+F324+F325+F326+F327+F328+F329+F330</f>
        <v>0</v>
      </c>
      <c r="G323" s="50">
        <f t="shared" si="43"/>
        <v>3091.4800000000005</v>
      </c>
      <c r="H323" s="166">
        <f>+H324+H325+H326+H327+H328+H329+H330</f>
        <v>1104.71</v>
      </c>
      <c r="I323" s="166">
        <f>+I324+I325+I326+I327+I328+I329+I330</f>
        <v>1173.0600000000002</v>
      </c>
      <c r="J323" s="166">
        <f>+J324+J325+J326+J327+J328+J329+J330</f>
        <v>813.71</v>
      </c>
      <c r="K323" s="166">
        <f>+K324+K325+K326+K327+K328+K329+K330</f>
        <v>0</v>
      </c>
      <c r="L323" s="21"/>
      <c r="M323" s="230">
        <f t="shared" si="45"/>
        <v>-2277.7700000000004</v>
      </c>
      <c r="N323" s="166"/>
      <c r="O323" s="217"/>
      <c r="P323" s="217"/>
      <c r="Q323" s="218"/>
      <c r="R323" s="218"/>
      <c r="S323" s="220"/>
      <c r="T323" s="130"/>
      <c r="U323" s="123"/>
      <c r="V323" s="123"/>
    </row>
    <row r="324" spans="1:22" ht="12.75">
      <c r="A324" s="367">
        <f t="shared" si="44"/>
        <v>305</v>
      </c>
      <c r="B324" s="368"/>
      <c r="C324" s="368"/>
      <c r="D324" s="379" t="s">
        <v>47</v>
      </c>
      <c r="E324" s="66" t="s">
        <v>178</v>
      </c>
      <c r="F324" s="416"/>
      <c r="G324" s="79">
        <f t="shared" si="43"/>
        <v>2320.96</v>
      </c>
      <c r="H324" s="462">
        <f>853.97-24.5</f>
        <v>829.47</v>
      </c>
      <c r="I324" s="462">
        <v>887.71</v>
      </c>
      <c r="J324" s="462">
        <v>603.78</v>
      </c>
      <c r="K324" s="462"/>
      <c r="L324" s="21">
        <v>2320.96</v>
      </c>
      <c r="M324" s="230">
        <f t="shared" si="45"/>
        <v>603.78</v>
      </c>
      <c r="N324" s="218"/>
      <c r="O324" s="217"/>
      <c r="P324" s="217"/>
      <c r="Q324" s="218"/>
      <c r="R324" s="218"/>
      <c r="S324" s="219"/>
      <c r="T324" s="221"/>
      <c r="U324" s="123"/>
      <c r="V324" s="123"/>
    </row>
    <row r="325" spans="1:22" ht="12.75">
      <c r="A325" s="367">
        <f t="shared" si="44"/>
        <v>306</v>
      </c>
      <c r="B325" s="368"/>
      <c r="C325" s="368"/>
      <c r="D325" s="379" t="s">
        <v>80</v>
      </c>
      <c r="E325" s="66" t="s">
        <v>179</v>
      </c>
      <c r="F325" s="416"/>
      <c r="G325" s="79">
        <f t="shared" si="43"/>
        <v>54.519999999999996</v>
      </c>
      <c r="H325" s="462">
        <f>20.11-0.59</f>
        <v>19.52</v>
      </c>
      <c r="I325" s="462">
        <v>20.86</v>
      </c>
      <c r="J325" s="462">
        <v>14.14</v>
      </c>
      <c r="K325" s="462"/>
      <c r="L325" s="21">
        <v>54.52</v>
      </c>
      <c r="M325" s="230">
        <f t="shared" si="45"/>
        <v>14.140000000000008</v>
      </c>
      <c r="N325" s="218"/>
      <c r="O325" s="217"/>
      <c r="P325" s="217"/>
      <c r="Q325" s="218"/>
      <c r="R325" s="218"/>
      <c r="S325" s="219"/>
      <c r="T325" s="221"/>
      <c r="U325" s="123"/>
      <c r="V325" s="123"/>
    </row>
    <row r="326" spans="1:22" ht="12.75">
      <c r="A326" s="367">
        <f t="shared" si="44"/>
        <v>307</v>
      </c>
      <c r="B326" s="368"/>
      <c r="C326" s="368"/>
      <c r="D326" s="379" t="s">
        <v>84</v>
      </c>
      <c r="E326" s="66" t="s">
        <v>180</v>
      </c>
      <c r="F326" s="416"/>
      <c r="G326" s="79">
        <f t="shared" si="43"/>
        <v>568.21</v>
      </c>
      <c r="H326" s="462">
        <f>209.78-6.12</f>
        <v>203.66</v>
      </c>
      <c r="I326" s="462">
        <v>217.29</v>
      </c>
      <c r="J326" s="462">
        <v>147.26</v>
      </c>
      <c r="K326" s="462"/>
      <c r="L326" s="21">
        <v>568.21</v>
      </c>
      <c r="M326" s="230">
        <f t="shared" si="45"/>
        <v>147.26</v>
      </c>
      <c r="N326" s="218"/>
      <c r="O326" s="217"/>
      <c r="P326" s="217"/>
      <c r="Q326" s="218"/>
      <c r="R326" s="218"/>
      <c r="S326" s="219"/>
      <c r="T326" s="221"/>
      <c r="U326" s="123"/>
      <c r="V326" s="123"/>
    </row>
    <row r="327" spans="1:22" ht="12.75">
      <c r="A327" s="367">
        <f t="shared" si="44"/>
        <v>308</v>
      </c>
      <c r="B327" s="368"/>
      <c r="C327" s="368"/>
      <c r="D327" s="379" t="s">
        <v>108</v>
      </c>
      <c r="E327" s="66" t="s">
        <v>269</v>
      </c>
      <c r="F327" s="416"/>
      <c r="G327" s="79">
        <f t="shared" si="43"/>
        <v>30.58</v>
      </c>
      <c r="H327" s="462">
        <f>11.27-0.33</f>
        <v>10.94</v>
      </c>
      <c r="I327" s="462">
        <v>11.69</v>
      </c>
      <c r="J327" s="462">
        <v>7.95</v>
      </c>
      <c r="K327" s="462"/>
      <c r="L327" s="21">
        <v>30.58</v>
      </c>
      <c r="M327" s="230">
        <f t="shared" si="45"/>
        <v>7.95</v>
      </c>
      <c r="N327" s="218"/>
      <c r="O327" s="217"/>
      <c r="P327" s="217"/>
      <c r="Q327" s="218"/>
      <c r="R327" s="218"/>
      <c r="S327" s="219"/>
      <c r="T327" s="221"/>
      <c r="U327" s="123"/>
      <c r="V327" s="123"/>
    </row>
    <row r="328" spans="1:22" ht="12.75">
      <c r="A328" s="367">
        <f t="shared" si="44"/>
        <v>309</v>
      </c>
      <c r="B328" s="368"/>
      <c r="C328" s="368"/>
      <c r="D328" s="379" t="s">
        <v>41</v>
      </c>
      <c r="E328" s="66" t="s">
        <v>182</v>
      </c>
      <c r="F328" s="416"/>
      <c r="G328" s="79">
        <f t="shared" si="43"/>
        <v>0</v>
      </c>
      <c r="H328" s="462">
        <v>0</v>
      </c>
      <c r="I328" s="462">
        <v>0</v>
      </c>
      <c r="J328" s="462">
        <v>0</v>
      </c>
      <c r="K328" s="462"/>
      <c r="L328" s="21"/>
      <c r="M328" s="230">
        <f t="shared" si="45"/>
        <v>0</v>
      </c>
      <c r="N328" s="218"/>
      <c r="O328" s="217"/>
      <c r="P328" s="217"/>
      <c r="Q328" s="218"/>
      <c r="R328" s="218"/>
      <c r="S328" s="219"/>
      <c r="T328" s="221"/>
      <c r="U328" s="123"/>
      <c r="V328" s="123"/>
    </row>
    <row r="329" spans="1:22" ht="12.75">
      <c r="A329" s="367">
        <f t="shared" si="44"/>
        <v>310</v>
      </c>
      <c r="B329" s="368"/>
      <c r="C329" s="368"/>
      <c r="D329" s="379" t="s">
        <v>154</v>
      </c>
      <c r="E329" s="66" t="s">
        <v>183</v>
      </c>
      <c r="F329" s="416"/>
      <c r="G329" s="79">
        <f t="shared" si="43"/>
        <v>117.21</v>
      </c>
      <c r="H329" s="462">
        <f>208.34-167.22</f>
        <v>41.120000000000005</v>
      </c>
      <c r="I329" s="462">
        <v>35.51</v>
      </c>
      <c r="J329" s="462">
        <v>40.58</v>
      </c>
      <c r="K329" s="462"/>
      <c r="L329" s="21">
        <v>117.21</v>
      </c>
      <c r="M329" s="230">
        <f t="shared" si="45"/>
        <v>40.58</v>
      </c>
      <c r="N329" s="218"/>
      <c r="O329" s="217"/>
      <c r="P329" s="217"/>
      <c r="Q329" s="218"/>
      <c r="R329" s="218"/>
      <c r="S329" s="219"/>
      <c r="T329" s="221"/>
      <c r="U329" s="123"/>
      <c r="V329" s="123"/>
    </row>
    <row r="330" spans="1:22" ht="12.75">
      <c r="A330" s="367">
        <f t="shared" si="44"/>
        <v>311</v>
      </c>
      <c r="B330" s="368"/>
      <c r="C330" s="368"/>
      <c r="D330" s="379" t="s">
        <v>157</v>
      </c>
      <c r="E330" s="66" t="s">
        <v>184</v>
      </c>
      <c r="F330" s="416"/>
      <c r="G330" s="79">
        <f t="shared" si="43"/>
        <v>0</v>
      </c>
      <c r="H330" s="462">
        <v>0</v>
      </c>
      <c r="I330" s="462">
        <v>0</v>
      </c>
      <c r="J330" s="462">
        <v>0</v>
      </c>
      <c r="K330" s="462"/>
      <c r="L330" s="21"/>
      <c r="M330" s="230">
        <f t="shared" si="45"/>
        <v>0</v>
      </c>
      <c r="N330" s="218"/>
      <c r="O330" s="217"/>
      <c r="P330" s="217"/>
      <c r="Q330" s="218"/>
      <c r="R330" s="218"/>
      <c r="S330" s="219"/>
      <c r="T330" s="221"/>
      <c r="U330" s="123"/>
      <c r="V330" s="123"/>
    </row>
    <row r="331" spans="1:22" ht="12.75">
      <c r="A331" s="367">
        <f t="shared" si="44"/>
        <v>312</v>
      </c>
      <c r="B331" s="368">
        <v>20</v>
      </c>
      <c r="C331" s="368"/>
      <c r="D331" s="86"/>
      <c r="E331" s="85" t="s">
        <v>287</v>
      </c>
      <c r="F331" s="49">
        <f>+F332+F343+F344+F347+F352+F356+F359+F360+F361+F362+F363+F364+F365+F367</f>
        <v>0</v>
      </c>
      <c r="G331" s="50">
        <f t="shared" si="43"/>
        <v>2534.3999999999996</v>
      </c>
      <c r="H331" s="166">
        <f>+H332+H343+H344+H347+H352+H356+H359+H360+H361+H362+H363+H364+H365+H367</f>
        <v>1069.24</v>
      </c>
      <c r="I331" s="166">
        <f>+I332+I343+I344+I347+I352+I356+I359+I360+I361+I362+I363+I364+I365+I367</f>
        <v>906.15</v>
      </c>
      <c r="J331" s="166">
        <f>+J332+J343+J344+J347+J352+J356+J359+J360+J361+J362+J363+J364+J365+J367</f>
        <v>559.01</v>
      </c>
      <c r="K331" s="166">
        <f>+K332+K343+K344+K347+K352+K356+K359+K360+K361+K362+K363+K364+K365+K367</f>
        <v>0</v>
      </c>
      <c r="L331" s="21"/>
      <c r="M331" s="230">
        <f t="shared" si="45"/>
        <v>-1975.3899999999996</v>
      </c>
      <c r="N331" s="166"/>
      <c r="O331" s="217"/>
      <c r="P331" s="217"/>
      <c r="Q331" s="218"/>
      <c r="R331" s="218"/>
      <c r="S331" s="219"/>
      <c r="T331" s="99"/>
      <c r="U331" s="123"/>
      <c r="V331" s="123"/>
    </row>
    <row r="332" spans="1:22" ht="12.75">
      <c r="A332" s="367">
        <f t="shared" si="44"/>
        <v>313</v>
      </c>
      <c r="B332" s="368"/>
      <c r="C332" s="377" t="s">
        <v>47</v>
      </c>
      <c r="D332" s="369"/>
      <c r="E332" s="85" t="s">
        <v>130</v>
      </c>
      <c r="F332" s="49">
        <f>+F333+F334+F335+F336+F337+F338+F339+F340+F341+F342</f>
        <v>0</v>
      </c>
      <c r="G332" s="50">
        <f t="shared" si="43"/>
        <v>1393.86</v>
      </c>
      <c r="H332" s="166">
        <f>+H333+H334+H335+H336+H337+H338+H339+H340+H341+H342</f>
        <v>585.64</v>
      </c>
      <c r="I332" s="166">
        <f>+I333+I334+I335+I336+I337+I338+I339+I340+I341+I342</f>
        <v>549.89</v>
      </c>
      <c r="J332" s="166">
        <f>+J333+J334+J335+J336+J337+J338+J339+J340+J341+J342</f>
        <v>258.33</v>
      </c>
      <c r="K332" s="166">
        <f>+K333+K334+K335+K336+K337+K338+K339+K340+K341+K342</f>
        <v>0</v>
      </c>
      <c r="L332" s="21"/>
      <c r="M332" s="230">
        <f t="shared" si="45"/>
        <v>-1135.53</v>
      </c>
      <c r="N332" s="166"/>
      <c r="O332" s="217"/>
      <c r="P332" s="217"/>
      <c r="Q332" s="218"/>
      <c r="R332" s="218"/>
      <c r="S332" s="220"/>
      <c r="T332" s="130"/>
      <c r="U332" s="123"/>
      <c r="V332" s="123"/>
    </row>
    <row r="333" spans="1:22" ht="12.75">
      <c r="A333" s="367">
        <f t="shared" si="44"/>
        <v>314</v>
      </c>
      <c r="B333" s="368"/>
      <c r="C333" s="368"/>
      <c r="D333" s="379" t="s">
        <v>47</v>
      </c>
      <c r="E333" s="66" t="s">
        <v>186</v>
      </c>
      <c r="F333" s="416"/>
      <c r="G333" s="79">
        <f t="shared" si="43"/>
        <v>28.58</v>
      </c>
      <c r="H333" s="462">
        <v>7.84</v>
      </c>
      <c r="I333" s="462">
        <v>1.83</v>
      </c>
      <c r="J333" s="462">
        <v>18.91</v>
      </c>
      <c r="K333" s="462"/>
      <c r="L333" s="21">
        <v>28.58</v>
      </c>
      <c r="M333" s="230">
        <f t="shared" si="45"/>
        <v>18.91</v>
      </c>
      <c r="N333" s="218"/>
      <c r="O333" s="217"/>
      <c r="P333" s="217"/>
      <c r="Q333" s="218"/>
      <c r="R333" s="218"/>
      <c r="S333" s="219"/>
      <c r="T333" s="221"/>
      <c r="U333" s="123"/>
      <c r="V333" s="123"/>
    </row>
    <row r="334" spans="1:22" ht="12.75">
      <c r="A334" s="367">
        <f t="shared" si="44"/>
        <v>315</v>
      </c>
      <c r="B334" s="368"/>
      <c r="C334" s="368"/>
      <c r="D334" s="379" t="s">
        <v>80</v>
      </c>
      <c r="E334" s="66" t="s">
        <v>187</v>
      </c>
      <c r="F334" s="416"/>
      <c r="G334" s="79">
        <f t="shared" si="43"/>
        <v>99.99000000000001</v>
      </c>
      <c r="H334" s="462">
        <v>34.52</v>
      </c>
      <c r="I334" s="462">
        <v>33.79</v>
      </c>
      <c r="J334" s="462">
        <v>31.68</v>
      </c>
      <c r="K334" s="462"/>
      <c r="L334" s="21">
        <v>99.99</v>
      </c>
      <c r="M334" s="230">
        <f t="shared" si="45"/>
        <v>31.679999999999986</v>
      </c>
      <c r="N334" s="218"/>
      <c r="O334" s="217"/>
      <c r="P334" s="217"/>
      <c r="Q334" s="218"/>
      <c r="R334" s="218"/>
      <c r="S334" s="219"/>
      <c r="T334" s="221"/>
      <c r="U334" s="123"/>
      <c r="V334" s="123"/>
    </row>
    <row r="335" spans="1:22" ht="12.75">
      <c r="A335" s="367">
        <f t="shared" si="44"/>
        <v>316</v>
      </c>
      <c r="B335" s="368"/>
      <c r="C335" s="368"/>
      <c r="D335" s="379" t="s">
        <v>84</v>
      </c>
      <c r="E335" s="66" t="s">
        <v>188</v>
      </c>
      <c r="F335" s="416"/>
      <c r="G335" s="79">
        <f t="shared" si="43"/>
        <v>0</v>
      </c>
      <c r="H335" s="462">
        <v>0</v>
      </c>
      <c r="I335" s="462">
        <v>0</v>
      </c>
      <c r="J335" s="462">
        <v>0</v>
      </c>
      <c r="K335" s="462"/>
      <c r="L335" s="21"/>
      <c r="M335" s="230">
        <f t="shared" si="45"/>
        <v>0</v>
      </c>
      <c r="N335" s="218"/>
      <c r="O335" s="217"/>
      <c r="P335" s="217"/>
      <c r="Q335" s="218"/>
      <c r="R335" s="218"/>
      <c r="S335" s="219"/>
      <c r="T335" s="221"/>
      <c r="U335" s="123"/>
      <c r="V335" s="123"/>
    </row>
    <row r="336" spans="1:22" ht="12.75">
      <c r="A336" s="367">
        <f t="shared" si="44"/>
        <v>317</v>
      </c>
      <c r="B336" s="368"/>
      <c r="C336" s="368"/>
      <c r="D336" s="379" t="s">
        <v>108</v>
      </c>
      <c r="E336" s="66" t="s">
        <v>189</v>
      </c>
      <c r="F336" s="416"/>
      <c r="G336" s="79">
        <f t="shared" si="43"/>
        <v>0</v>
      </c>
      <c r="H336" s="462">
        <v>0</v>
      </c>
      <c r="I336" s="462">
        <v>0</v>
      </c>
      <c r="J336" s="462">
        <v>0</v>
      </c>
      <c r="K336" s="462"/>
      <c r="L336" s="21"/>
      <c r="M336" s="230">
        <f t="shared" si="45"/>
        <v>0</v>
      </c>
      <c r="N336" s="218"/>
      <c r="O336" s="217"/>
      <c r="P336" s="217"/>
      <c r="Q336" s="218"/>
      <c r="R336" s="218"/>
      <c r="S336" s="219"/>
      <c r="T336" s="221"/>
      <c r="U336" s="123"/>
      <c r="V336" s="123"/>
    </row>
    <row r="337" spans="1:22" ht="12.75">
      <c r="A337" s="367">
        <f t="shared" si="44"/>
        <v>318</v>
      </c>
      <c r="B337" s="368"/>
      <c r="C337" s="368"/>
      <c r="D337" s="379" t="s">
        <v>41</v>
      </c>
      <c r="E337" s="66" t="s">
        <v>190</v>
      </c>
      <c r="F337" s="416"/>
      <c r="G337" s="79">
        <f t="shared" si="43"/>
        <v>0</v>
      </c>
      <c r="H337" s="462">
        <v>0</v>
      </c>
      <c r="I337" s="462">
        <v>0</v>
      </c>
      <c r="J337" s="462">
        <v>0</v>
      </c>
      <c r="K337" s="462"/>
      <c r="L337" s="21"/>
      <c r="M337" s="230">
        <f t="shared" si="45"/>
        <v>0</v>
      </c>
      <c r="N337" s="218"/>
      <c r="O337" s="217"/>
      <c r="P337" s="217"/>
      <c r="Q337" s="218"/>
      <c r="R337" s="218"/>
      <c r="S337" s="219"/>
      <c r="T337" s="221"/>
      <c r="U337" s="123"/>
      <c r="V337" s="123"/>
    </row>
    <row r="338" spans="1:22" ht="12.75">
      <c r="A338" s="367">
        <f t="shared" si="44"/>
        <v>319</v>
      </c>
      <c r="B338" s="368"/>
      <c r="C338" s="368"/>
      <c r="D338" s="379" t="s">
        <v>154</v>
      </c>
      <c r="E338" s="66" t="s">
        <v>191</v>
      </c>
      <c r="F338" s="416"/>
      <c r="G338" s="79">
        <f t="shared" si="43"/>
        <v>47.92999999999999</v>
      </c>
      <c r="H338" s="462">
        <v>21.39</v>
      </c>
      <c r="I338" s="462">
        <v>21.49</v>
      </c>
      <c r="J338" s="462">
        <v>5.05</v>
      </c>
      <c r="K338" s="462"/>
      <c r="L338" s="21">
        <v>47.93</v>
      </c>
      <c r="M338" s="230">
        <f t="shared" si="45"/>
        <v>5.050000000000007</v>
      </c>
      <c r="N338" s="218"/>
      <c r="O338" s="217"/>
      <c r="P338" s="217"/>
      <c r="Q338" s="218"/>
      <c r="R338" s="218"/>
      <c r="S338" s="219"/>
      <c r="T338" s="221"/>
      <c r="U338" s="123"/>
      <c r="V338" s="123"/>
    </row>
    <row r="339" spans="1:22" ht="12.75">
      <c r="A339" s="367">
        <f t="shared" si="44"/>
        <v>320</v>
      </c>
      <c r="B339" s="368"/>
      <c r="C339" s="368"/>
      <c r="D339" s="379" t="s">
        <v>157</v>
      </c>
      <c r="E339" s="66" t="s">
        <v>192</v>
      </c>
      <c r="F339" s="416"/>
      <c r="G339" s="79">
        <f t="shared" si="43"/>
        <v>0</v>
      </c>
      <c r="H339" s="462">
        <v>0</v>
      </c>
      <c r="I339" s="462">
        <v>0</v>
      </c>
      <c r="J339" s="462">
        <v>0</v>
      </c>
      <c r="K339" s="462"/>
      <c r="L339" s="21"/>
      <c r="M339" s="230">
        <f t="shared" si="45"/>
        <v>0</v>
      </c>
      <c r="N339" s="218"/>
      <c r="O339" s="217"/>
      <c r="P339" s="217"/>
      <c r="Q339" s="218"/>
      <c r="R339" s="218"/>
      <c r="S339" s="219"/>
      <c r="T339" s="221"/>
      <c r="U339" s="123"/>
      <c r="V339" s="123"/>
    </row>
    <row r="340" spans="1:22" ht="12.75">
      <c r="A340" s="367">
        <f t="shared" si="44"/>
        <v>321</v>
      </c>
      <c r="B340" s="368"/>
      <c r="C340" s="368"/>
      <c r="D340" s="379" t="s">
        <v>65</v>
      </c>
      <c r="E340" s="66" t="s">
        <v>193</v>
      </c>
      <c r="F340" s="416"/>
      <c r="G340" s="79">
        <f t="shared" si="43"/>
        <v>0</v>
      </c>
      <c r="H340" s="462">
        <v>0</v>
      </c>
      <c r="I340" s="462">
        <v>0</v>
      </c>
      <c r="J340" s="462">
        <v>0</v>
      </c>
      <c r="K340" s="462"/>
      <c r="L340" s="21"/>
      <c r="M340" s="230">
        <f t="shared" si="45"/>
        <v>0</v>
      </c>
      <c r="N340" s="218"/>
      <c r="O340" s="217"/>
      <c r="P340" s="217"/>
      <c r="Q340" s="218"/>
      <c r="R340" s="218"/>
      <c r="S340" s="219"/>
      <c r="T340" s="221"/>
      <c r="U340" s="123"/>
      <c r="V340" s="123"/>
    </row>
    <row r="341" spans="1:22" ht="12.75">
      <c r="A341" s="367">
        <f t="shared" si="44"/>
        <v>322</v>
      </c>
      <c r="B341" s="368"/>
      <c r="C341" s="368"/>
      <c r="D341" s="379" t="s">
        <v>160</v>
      </c>
      <c r="E341" s="66" t="s">
        <v>194</v>
      </c>
      <c r="F341" s="416"/>
      <c r="G341" s="79">
        <f t="shared" si="43"/>
        <v>10.96</v>
      </c>
      <c r="H341" s="462">
        <v>4.46</v>
      </c>
      <c r="I341" s="462">
        <v>6.5</v>
      </c>
      <c r="J341" s="462">
        <v>0</v>
      </c>
      <c r="K341" s="462"/>
      <c r="L341" s="21">
        <v>10.96</v>
      </c>
      <c r="M341" s="230">
        <f t="shared" si="45"/>
        <v>0</v>
      </c>
      <c r="N341" s="218"/>
      <c r="O341" s="217"/>
      <c r="P341" s="217"/>
      <c r="Q341" s="218"/>
      <c r="R341" s="218"/>
      <c r="S341" s="219"/>
      <c r="T341" s="221"/>
      <c r="U341" s="123"/>
      <c r="V341" s="123"/>
    </row>
    <row r="342" spans="1:22" ht="12.75">
      <c r="A342" s="367">
        <f t="shared" si="44"/>
        <v>323</v>
      </c>
      <c r="B342" s="368"/>
      <c r="C342" s="368"/>
      <c r="D342" s="369">
        <v>30</v>
      </c>
      <c r="E342" s="66" t="s">
        <v>271</v>
      </c>
      <c r="F342" s="416"/>
      <c r="G342" s="79">
        <f t="shared" si="43"/>
        <v>1206.3999999999999</v>
      </c>
      <c r="H342" s="462">
        <v>517.43</v>
      </c>
      <c r="I342" s="462">
        <v>486.28</v>
      </c>
      <c r="J342" s="462">
        <v>202.69</v>
      </c>
      <c r="K342" s="462"/>
      <c r="L342" s="21">
        <v>1206.4</v>
      </c>
      <c r="M342" s="230">
        <f t="shared" si="45"/>
        <v>202.69000000000023</v>
      </c>
      <c r="N342" s="218"/>
      <c r="O342" s="217"/>
      <c r="P342" s="217"/>
      <c r="Q342" s="218"/>
      <c r="R342" s="218"/>
      <c r="S342" s="219"/>
      <c r="T342" s="130"/>
      <c r="U342" s="123"/>
      <c r="V342" s="123"/>
    </row>
    <row r="343" spans="1:22" ht="12.75">
      <c r="A343" s="367">
        <f t="shared" si="44"/>
        <v>324</v>
      </c>
      <c r="B343" s="368"/>
      <c r="C343" s="377" t="s">
        <v>80</v>
      </c>
      <c r="D343" s="86"/>
      <c r="E343" s="59" t="s">
        <v>196</v>
      </c>
      <c r="F343" s="416"/>
      <c r="G343" s="79">
        <f t="shared" si="43"/>
        <v>2.5</v>
      </c>
      <c r="H343" s="77">
        <v>0</v>
      </c>
      <c r="I343" s="77">
        <v>0</v>
      </c>
      <c r="J343" s="77">
        <v>2.5</v>
      </c>
      <c r="K343" s="77"/>
      <c r="L343" s="21">
        <v>2.5</v>
      </c>
      <c r="M343" s="230">
        <f t="shared" si="45"/>
        <v>2.5</v>
      </c>
      <c r="N343" s="218"/>
      <c r="O343" s="217"/>
      <c r="P343" s="217"/>
      <c r="Q343" s="218"/>
      <c r="R343" s="218"/>
      <c r="S343" s="220"/>
      <c r="T343" s="99"/>
      <c r="U343" s="123"/>
      <c r="V343" s="123"/>
    </row>
    <row r="344" spans="1:22" ht="12.75">
      <c r="A344" s="367">
        <f t="shared" si="44"/>
        <v>325</v>
      </c>
      <c r="B344" s="368"/>
      <c r="C344" s="377" t="s">
        <v>84</v>
      </c>
      <c r="D344" s="86"/>
      <c r="E344" s="59" t="s">
        <v>197</v>
      </c>
      <c r="F344" s="49">
        <f>+F345+F346</f>
        <v>0</v>
      </c>
      <c r="G344" s="50">
        <f t="shared" si="43"/>
        <v>0</v>
      </c>
      <c r="H344" s="166">
        <f>+H345+H346</f>
        <v>0</v>
      </c>
      <c r="I344" s="166">
        <f>+I345+I346</f>
        <v>0</v>
      </c>
      <c r="J344" s="166">
        <f>+J345+J346</f>
        <v>0</v>
      </c>
      <c r="K344" s="166">
        <f>+K345+K346</f>
        <v>0</v>
      </c>
      <c r="L344" s="21"/>
      <c r="M344" s="230">
        <f t="shared" si="45"/>
        <v>0</v>
      </c>
      <c r="N344" s="218"/>
      <c r="O344" s="217"/>
      <c r="P344" s="217"/>
      <c r="Q344" s="218"/>
      <c r="R344" s="218"/>
      <c r="S344" s="220"/>
      <c r="T344" s="99"/>
      <c r="U344" s="123"/>
      <c r="V344" s="123"/>
    </row>
    <row r="345" spans="1:22" ht="12.75">
      <c r="A345" s="367">
        <f t="shared" si="44"/>
        <v>326</v>
      </c>
      <c r="B345" s="368"/>
      <c r="C345" s="368"/>
      <c r="D345" s="379" t="s">
        <v>47</v>
      </c>
      <c r="E345" s="66" t="s">
        <v>198</v>
      </c>
      <c r="F345" s="416"/>
      <c r="G345" s="79">
        <f t="shared" si="43"/>
        <v>0</v>
      </c>
      <c r="H345" s="77">
        <v>0</v>
      </c>
      <c r="I345" s="77">
        <v>0</v>
      </c>
      <c r="J345" s="77">
        <v>0</v>
      </c>
      <c r="K345" s="77"/>
      <c r="L345" s="21"/>
      <c r="M345" s="230">
        <f t="shared" si="45"/>
        <v>0</v>
      </c>
      <c r="N345" s="218"/>
      <c r="O345" s="217"/>
      <c r="P345" s="217"/>
      <c r="Q345" s="218"/>
      <c r="R345" s="218"/>
      <c r="S345" s="219"/>
      <c r="T345" s="221"/>
      <c r="U345" s="123"/>
      <c r="V345" s="123"/>
    </row>
    <row r="346" spans="1:22" ht="12.75">
      <c r="A346" s="367">
        <f t="shared" si="44"/>
        <v>327</v>
      </c>
      <c r="B346" s="368"/>
      <c r="C346" s="368"/>
      <c r="D346" s="379" t="s">
        <v>80</v>
      </c>
      <c r="E346" s="66" t="s">
        <v>199</v>
      </c>
      <c r="F346" s="375"/>
      <c r="G346" s="79">
        <f t="shared" si="43"/>
        <v>0</v>
      </c>
      <c r="H346" s="77">
        <v>0</v>
      </c>
      <c r="I346" s="77">
        <v>0</v>
      </c>
      <c r="J346" s="77">
        <v>0</v>
      </c>
      <c r="K346" s="77"/>
      <c r="L346" s="21"/>
      <c r="M346" s="230">
        <f t="shared" si="45"/>
        <v>0</v>
      </c>
      <c r="N346" s="218"/>
      <c r="O346" s="217"/>
      <c r="P346" s="217"/>
      <c r="Q346" s="218"/>
      <c r="R346" s="218"/>
      <c r="S346" s="219"/>
      <c r="T346" s="221"/>
      <c r="U346" s="123"/>
      <c r="V346" s="123"/>
    </row>
    <row r="347" spans="1:22" ht="12.75">
      <c r="A347" s="367">
        <f t="shared" si="44"/>
        <v>328</v>
      </c>
      <c r="B347" s="368"/>
      <c r="C347" s="377" t="s">
        <v>108</v>
      </c>
      <c r="D347" s="369"/>
      <c r="E347" s="59" t="s">
        <v>200</v>
      </c>
      <c r="F347" s="49">
        <f>+F348+F349+F350+F351</f>
        <v>0</v>
      </c>
      <c r="G347" s="50">
        <f t="shared" si="43"/>
        <v>1137.19</v>
      </c>
      <c r="H347" s="166">
        <f>+H348+H349+H350+H351</f>
        <v>483.6</v>
      </c>
      <c r="I347" s="166">
        <f>+I348+I349+I350+I351</f>
        <v>355.26</v>
      </c>
      <c r="J347" s="166">
        <f>+J348+J349+J350+J351</f>
        <v>298.33</v>
      </c>
      <c r="K347" s="166">
        <f>+K348+K349+K350+K351</f>
        <v>0</v>
      </c>
      <c r="L347" s="21"/>
      <c r="M347" s="230">
        <f t="shared" si="45"/>
        <v>-838.8600000000001</v>
      </c>
      <c r="N347" s="166"/>
      <c r="O347" s="217"/>
      <c r="P347" s="217"/>
      <c r="Q347" s="218"/>
      <c r="R347" s="218"/>
      <c r="S347" s="220"/>
      <c r="T347" s="130"/>
      <c r="U347" s="123"/>
      <c r="V347" s="123"/>
    </row>
    <row r="348" spans="1:22" ht="12.75">
      <c r="A348" s="367">
        <f t="shared" si="44"/>
        <v>329</v>
      </c>
      <c r="B348" s="368"/>
      <c r="C348" s="368"/>
      <c r="D348" s="379" t="s">
        <v>47</v>
      </c>
      <c r="E348" s="66" t="s">
        <v>201</v>
      </c>
      <c r="F348" s="416"/>
      <c r="G348" s="79">
        <f t="shared" si="43"/>
        <v>539.54</v>
      </c>
      <c r="H348" s="77">
        <v>168.16</v>
      </c>
      <c r="I348" s="77">
        <v>119.9</v>
      </c>
      <c r="J348" s="77">
        <v>251.48</v>
      </c>
      <c r="K348" s="77"/>
      <c r="L348" s="21">
        <v>541.54</v>
      </c>
      <c r="M348" s="230">
        <f t="shared" si="45"/>
        <v>253.48</v>
      </c>
      <c r="N348" s="218"/>
      <c r="O348" s="217"/>
      <c r="P348" s="217"/>
      <c r="Q348" s="218"/>
      <c r="R348" s="218"/>
      <c r="S348" s="219"/>
      <c r="T348" s="221"/>
      <c r="U348" s="123"/>
      <c r="V348" s="123"/>
    </row>
    <row r="349" spans="1:22" ht="12.75">
      <c r="A349" s="367">
        <f t="shared" si="44"/>
        <v>330</v>
      </c>
      <c r="B349" s="368"/>
      <c r="C349" s="368"/>
      <c r="D349" s="379" t="s">
        <v>80</v>
      </c>
      <c r="E349" s="66" t="s">
        <v>202</v>
      </c>
      <c r="F349" s="416"/>
      <c r="G349" s="79">
        <f t="shared" si="43"/>
        <v>376.96</v>
      </c>
      <c r="H349" s="77">
        <v>185.77</v>
      </c>
      <c r="I349" s="77">
        <v>124.73</v>
      </c>
      <c r="J349" s="77">
        <v>66.46</v>
      </c>
      <c r="K349" s="77"/>
      <c r="L349" s="21">
        <v>376.96</v>
      </c>
      <c r="M349" s="230">
        <f t="shared" si="45"/>
        <v>66.46</v>
      </c>
      <c r="N349" s="218"/>
      <c r="O349" s="217"/>
      <c r="P349" s="217"/>
      <c r="Q349" s="218"/>
      <c r="R349" s="218"/>
      <c r="S349" s="219"/>
      <c r="T349" s="221"/>
      <c r="U349" s="123"/>
      <c r="V349" s="123"/>
    </row>
    <row r="350" spans="1:22" ht="12.75">
      <c r="A350" s="367">
        <f t="shared" si="44"/>
        <v>331</v>
      </c>
      <c r="B350" s="368"/>
      <c r="C350" s="368"/>
      <c r="D350" s="379" t="s">
        <v>84</v>
      </c>
      <c r="E350" s="66" t="s">
        <v>203</v>
      </c>
      <c r="F350" s="416"/>
      <c r="G350" s="79">
        <f t="shared" si="43"/>
        <v>189.32</v>
      </c>
      <c r="H350" s="77">
        <v>116</v>
      </c>
      <c r="I350" s="77">
        <v>102.6</v>
      </c>
      <c r="J350" s="77">
        <v>-29.28</v>
      </c>
      <c r="K350" s="77"/>
      <c r="L350" s="21">
        <v>189.32</v>
      </c>
      <c r="M350" s="230">
        <f t="shared" si="45"/>
        <v>-29.28</v>
      </c>
      <c r="N350" s="218"/>
      <c r="O350" s="217"/>
      <c r="P350" s="217"/>
      <c r="Q350" s="218"/>
      <c r="R350" s="218"/>
      <c r="S350" s="219"/>
      <c r="T350" s="221"/>
      <c r="U350" s="123"/>
      <c r="V350" s="123"/>
    </row>
    <row r="351" spans="1:22" ht="12.75">
      <c r="A351" s="367">
        <f t="shared" si="44"/>
        <v>332</v>
      </c>
      <c r="B351" s="368"/>
      <c r="C351" s="368"/>
      <c r="D351" s="379" t="s">
        <v>108</v>
      </c>
      <c r="E351" s="66" t="s">
        <v>204</v>
      </c>
      <c r="F351" s="416"/>
      <c r="G351" s="79">
        <f t="shared" si="43"/>
        <v>31.369999999999997</v>
      </c>
      <c r="H351" s="77">
        <v>13.67</v>
      </c>
      <c r="I351" s="77">
        <v>8.03</v>
      </c>
      <c r="J351" s="77">
        <v>9.67</v>
      </c>
      <c r="K351" s="77"/>
      <c r="L351" s="21">
        <v>31.37</v>
      </c>
      <c r="M351" s="230">
        <f t="shared" si="45"/>
        <v>9.670000000000003</v>
      </c>
      <c r="N351" s="218"/>
      <c r="O351" s="217"/>
      <c r="P351" s="217"/>
      <c r="Q351" s="218"/>
      <c r="R351" s="218"/>
      <c r="S351" s="219"/>
      <c r="T351" s="221"/>
      <c r="U351" s="123"/>
      <c r="V351" s="123"/>
    </row>
    <row r="352" spans="1:22" ht="12.75">
      <c r="A352" s="367">
        <f t="shared" si="44"/>
        <v>333</v>
      </c>
      <c r="B352" s="368"/>
      <c r="C352" s="377" t="s">
        <v>41</v>
      </c>
      <c r="D352" s="369"/>
      <c r="E352" s="85" t="s">
        <v>205</v>
      </c>
      <c r="F352" s="49">
        <f>+F353+F354+F355</f>
        <v>0</v>
      </c>
      <c r="G352" s="50">
        <f t="shared" si="43"/>
        <v>0.85</v>
      </c>
      <c r="H352" s="166">
        <f>+H353+H354+H355</f>
        <v>0</v>
      </c>
      <c r="I352" s="166">
        <f>+I353+I354+I355</f>
        <v>1</v>
      </c>
      <c r="J352" s="166">
        <f>+J353+J354+J355</f>
        <v>-0.15</v>
      </c>
      <c r="K352" s="166">
        <f>+K353+K354+K355</f>
        <v>0</v>
      </c>
      <c r="L352" s="21"/>
      <c r="M352" s="230">
        <f t="shared" si="45"/>
        <v>-1</v>
      </c>
      <c r="N352" s="218"/>
      <c r="O352" s="217"/>
      <c r="P352" s="217"/>
      <c r="Q352" s="218"/>
      <c r="R352" s="218"/>
      <c r="S352" s="220"/>
      <c r="T352" s="130"/>
      <c r="U352" s="123"/>
      <c r="V352" s="123"/>
    </row>
    <row r="353" spans="1:22" ht="12.75">
      <c r="A353" s="367">
        <f t="shared" si="44"/>
        <v>334</v>
      </c>
      <c r="B353" s="368"/>
      <c r="C353" s="368"/>
      <c r="D353" s="379" t="s">
        <v>47</v>
      </c>
      <c r="E353" s="66" t="s">
        <v>206</v>
      </c>
      <c r="F353" s="416"/>
      <c r="G353" s="79">
        <f t="shared" si="43"/>
        <v>0</v>
      </c>
      <c r="H353" s="462">
        <v>0</v>
      </c>
      <c r="I353" s="462">
        <v>0</v>
      </c>
      <c r="J353" s="462">
        <v>0</v>
      </c>
      <c r="K353" s="462"/>
      <c r="L353" s="21"/>
      <c r="M353" s="230">
        <f t="shared" si="45"/>
        <v>0</v>
      </c>
      <c r="N353" s="218"/>
      <c r="O353" s="217"/>
      <c r="P353" s="217"/>
      <c r="Q353" s="218"/>
      <c r="R353" s="218"/>
      <c r="S353" s="219"/>
      <c r="T353" s="221"/>
      <c r="U353" s="123"/>
      <c r="V353" s="123"/>
    </row>
    <row r="354" spans="1:22" ht="12.75">
      <c r="A354" s="367">
        <f t="shared" si="44"/>
        <v>335</v>
      </c>
      <c r="B354" s="368"/>
      <c r="C354" s="368"/>
      <c r="D354" s="379" t="s">
        <v>84</v>
      </c>
      <c r="E354" s="66" t="s">
        <v>207</v>
      </c>
      <c r="F354" s="416"/>
      <c r="G354" s="79">
        <f t="shared" si="43"/>
        <v>0</v>
      </c>
      <c r="H354" s="462">
        <v>0</v>
      </c>
      <c r="I354" s="462"/>
      <c r="J354" s="462"/>
      <c r="K354" s="462"/>
      <c r="L354" s="21"/>
      <c r="M354" s="230">
        <f t="shared" si="45"/>
        <v>0</v>
      </c>
      <c r="N354" s="218"/>
      <c r="O354" s="217"/>
      <c r="P354" s="217"/>
      <c r="Q354" s="218"/>
      <c r="R354" s="218"/>
      <c r="S354" s="219"/>
      <c r="T354" s="221"/>
      <c r="U354" s="123"/>
      <c r="V354" s="123"/>
    </row>
    <row r="355" spans="1:22" ht="12.75">
      <c r="A355" s="367">
        <f t="shared" si="44"/>
        <v>336</v>
      </c>
      <c r="B355" s="368"/>
      <c r="C355" s="368"/>
      <c r="D355" s="369">
        <v>30</v>
      </c>
      <c r="E355" s="66" t="s">
        <v>208</v>
      </c>
      <c r="F355" s="416"/>
      <c r="G355" s="79">
        <f t="shared" si="43"/>
        <v>0.85</v>
      </c>
      <c r="H355" s="462">
        <v>0</v>
      </c>
      <c r="I355" s="462">
        <v>1</v>
      </c>
      <c r="J355" s="462">
        <v>-0.15</v>
      </c>
      <c r="K355" s="462"/>
      <c r="L355" s="21">
        <v>0.85</v>
      </c>
      <c r="M355" s="230">
        <f t="shared" si="45"/>
        <v>-0.15</v>
      </c>
      <c r="N355" s="218"/>
      <c r="O355" s="217"/>
      <c r="P355" s="217"/>
      <c r="Q355" s="218"/>
      <c r="R355" s="218"/>
      <c r="S355" s="219"/>
      <c r="T355" s="130"/>
      <c r="U355" s="123"/>
      <c r="V355" s="123"/>
    </row>
    <row r="356" spans="1:22" ht="12.75">
      <c r="A356" s="367">
        <f t="shared" si="44"/>
        <v>337</v>
      </c>
      <c r="B356" s="368"/>
      <c r="C356" s="377" t="s">
        <v>154</v>
      </c>
      <c r="D356" s="369"/>
      <c r="E356" s="59" t="s">
        <v>209</v>
      </c>
      <c r="F356" s="49">
        <f>+F357+F358</f>
        <v>0</v>
      </c>
      <c r="G356" s="50">
        <f t="shared" si="43"/>
        <v>0</v>
      </c>
      <c r="H356" s="166">
        <f>+H357+H358</f>
        <v>0</v>
      </c>
      <c r="I356" s="166">
        <f>+I357+I358</f>
        <v>0</v>
      </c>
      <c r="J356" s="166">
        <f>+J357+J358</f>
        <v>0</v>
      </c>
      <c r="K356" s="166">
        <f>+K357+K358</f>
        <v>0</v>
      </c>
      <c r="L356" s="21"/>
      <c r="M356" s="230">
        <f t="shared" si="45"/>
        <v>0</v>
      </c>
      <c r="N356" s="218"/>
      <c r="O356" s="217"/>
      <c r="P356" s="217"/>
      <c r="Q356" s="218"/>
      <c r="R356" s="218"/>
      <c r="S356" s="220"/>
      <c r="T356" s="130"/>
      <c r="U356" s="123"/>
      <c r="V356" s="123"/>
    </row>
    <row r="357" spans="1:22" ht="12.75">
      <c r="A357" s="367">
        <f t="shared" si="44"/>
        <v>338</v>
      </c>
      <c r="B357" s="368"/>
      <c r="C357" s="368"/>
      <c r="D357" s="379" t="s">
        <v>47</v>
      </c>
      <c r="E357" s="78" t="s">
        <v>272</v>
      </c>
      <c r="F357" s="416"/>
      <c r="G357" s="417">
        <f t="shared" si="43"/>
        <v>0</v>
      </c>
      <c r="H357" s="77">
        <v>0</v>
      </c>
      <c r="I357" s="77">
        <v>0</v>
      </c>
      <c r="J357" s="77">
        <v>0</v>
      </c>
      <c r="K357" s="77"/>
      <c r="L357" s="21"/>
      <c r="N357" s="218"/>
      <c r="O357" s="217"/>
      <c r="P357" s="217"/>
      <c r="Q357" s="218"/>
      <c r="R357" s="218"/>
      <c r="S357" s="219"/>
      <c r="T357" s="221"/>
      <c r="U357" s="123"/>
      <c r="V357" s="123"/>
    </row>
    <row r="358" spans="1:22" ht="12.75">
      <c r="A358" s="367">
        <f t="shared" si="44"/>
        <v>339</v>
      </c>
      <c r="B358" s="368"/>
      <c r="C358" s="368"/>
      <c r="D358" s="379" t="s">
        <v>80</v>
      </c>
      <c r="E358" s="66" t="s">
        <v>211</v>
      </c>
      <c r="F358" s="416"/>
      <c r="G358" s="79">
        <f t="shared" si="43"/>
        <v>0</v>
      </c>
      <c r="H358" s="77">
        <v>0</v>
      </c>
      <c r="I358" s="77">
        <v>0</v>
      </c>
      <c r="J358" s="77">
        <v>0</v>
      </c>
      <c r="K358" s="77"/>
      <c r="L358" s="21"/>
      <c r="N358" s="218"/>
      <c r="O358" s="123"/>
      <c r="P358" s="123"/>
      <c r="Q358" s="218"/>
      <c r="R358" s="218"/>
      <c r="S358" s="219"/>
      <c r="T358" s="221"/>
      <c r="U358" s="123"/>
      <c r="V358" s="123"/>
    </row>
    <row r="359" spans="1:22" ht="12.75">
      <c r="A359" s="367">
        <f t="shared" si="44"/>
        <v>340</v>
      </c>
      <c r="B359" s="368"/>
      <c r="C359" s="377" t="s">
        <v>160</v>
      </c>
      <c r="D359" s="369"/>
      <c r="E359" s="85" t="s">
        <v>212</v>
      </c>
      <c r="F359" s="416"/>
      <c r="G359" s="79">
        <f t="shared" si="43"/>
        <v>0</v>
      </c>
      <c r="H359" s="465">
        <v>0</v>
      </c>
      <c r="I359" s="77">
        <v>0</v>
      </c>
      <c r="J359" s="77">
        <v>0</v>
      </c>
      <c r="K359" s="77"/>
      <c r="L359" s="21"/>
      <c r="N359" s="218"/>
      <c r="O359" s="123"/>
      <c r="P359" s="123"/>
      <c r="Q359" s="218"/>
      <c r="R359" s="218"/>
      <c r="S359" s="220"/>
      <c r="T359" s="130"/>
      <c r="U359" s="123"/>
      <c r="V359" s="123"/>
    </row>
    <row r="360" spans="1:22" ht="12.75">
      <c r="A360" s="367">
        <f t="shared" si="44"/>
        <v>341</v>
      </c>
      <c r="B360" s="368"/>
      <c r="C360" s="368">
        <v>10</v>
      </c>
      <c r="D360" s="369"/>
      <c r="E360" s="85" t="s">
        <v>213</v>
      </c>
      <c r="F360" s="416"/>
      <c r="G360" s="79">
        <f aca="true" t="shared" si="46" ref="G360:G392">H360+I360+J360+K360</f>
        <v>0</v>
      </c>
      <c r="H360" s="465">
        <v>0</v>
      </c>
      <c r="I360" s="77">
        <v>0</v>
      </c>
      <c r="J360" s="77">
        <v>0</v>
      </c>
      <c r="K360" s="77"/>
      <c r="L360" s="21"/>
      <c r="N360" s="218"/>
      <c r="O360" s="123"/>
      <c r="P360" s="123"/>
      <c r="Q360" s="218"/>
      <c r="R360" s="218"/>
      <c r="S360" s="219"/>
      <c r="T360" s="130"/>
      <c r="U360" s="123"/>
      <c r="V360" s="123"/>
    </row>
    <row r="361" spans="1:22" ht="12.75">
      <c r="A361" s="367">
        <f aca="true" t="shared" si="47" ref="A361:A409">A360+1</f>
        <v>342</v>
      </c>
      <c r="B361" s="368"/>
      <c r="C361" s="368">
        <v>11</v>
      </c>
      <c r="D361" s="369"/>
      <c r="E361" s="85" t="s">
        <v>273</v>
      </c>
      <c r="F361" s="416"/>
      <c r="G361" s="79">
        <f t="shared" si="46"/>
        <v>0</v>
      </c>
      <c r="H361" s="465">
        <v>0</v>
      </c>
      <c r="I361" s="77">
        <v>0</v>
      </c>
      <c r="J361" s="77">
        <v>0</v>
      </c>
      <c r="K361" s="77"/>
      <c r="L361" s="21"/>
      <c r="N361" s="218"/>
      <c r="O361" s="123"/>
      <c r="P361" s="123"/>
      <c r="Q361" s="218"/>
      <c r="R361" s="218"/>
      <c r="S361" s="219"/>
      <c r="T361" s="130"/>
      <c r="U361" s="123"/>
      <c r="V361" s="123"/>
    </row>
    <row r="362" spans="1:22" ht="12.75">
      <c r="A362" s="367">
        <f t="shared" si="47"/>
        <v>343</v>
      </c>
      <c r="B362" s="368"/>
      <c r="C362" s="368">
        <v>12</v>
      </c>
      <c r="D362" s="369"/>
      <c r="E362" s="85" t="s">
        <v>274</v>
      </c>
      <c r="F362" s="416"/>
      <c r="G362" s="79">
        <f t="shared" si="46"/>
        <v>0</v>
      </c>
      <c r="H362" s="465">
        <v>0</v>
      </c>
      <c r="I362" s="77">
        <v>0</v>
      </c>
      <c r="J362" s="77">
        <v>0</v>
      </c>
      <c r="K362" s="77"/>
      <c r="L362" s="21"/>
      <c r="N362" s="218"/>
      <c r="O362" s="123"/>
      <c r="P362" s="123"/>
      <c r="Q362" s="218"/>
      <c r="R362" s="218"/>
      <c r="S362" s="219"/>
      <c r="T362" s="130"/>
      <c r="U362" s="123"/>
      <c r="V362" s="123"/>
    </row>
    <row r="363" spans="1:22" ht="12.75">
      <c r="A363" s="367">
        <f t="shared" si="47"/>
        <v>344</v>
      </c>
      <c r="B363" s="368"/>
      <c r="C363" s="368">
        <v>13</v>
      </c>
      <c r="D363" s="369"/>
      <c r="E363" s="85" t="s">
        <v>216</v>
      </c>
      <c r="F363" s="416"/>
      <c r="G363" s="79">
        <f t="shared" si="46"/>
        <v>0</v>
      </c>
      <c r="H363" s="465">
        <v>0</v>
      </c>
      <c r="I363" s="77">
        <v>0</v>
      </c>
      <c r="J363" s="77">
        <v>0</v>
      </c>
      <c r="K363" s="77"/>
      <c r="L363" s="21"/>
      <c r="N363" s="218"/>
      <c r="O363" s="123"/>
      <c r="P363" s="123"/>
      <c r="Q363" s="218"/>
      <c r="R363" s="218"/>
      <c r="S363" s="219"/>
      <c r="T363" s="130"/>
      <c r="U363" s="123"/>
      <c r="V363" s="123"/>
    </row>
    <row r="364" spans="1:22" ht="12.75">
      <c r="A364" s="367">
        <f t="shared" si="47"/>
        <v>345</v>
      </c>
      <c r="B364" s="368"/>
      <c r="C364" s="368">
        <v>14</v>
      </c>
      <c r="D364" s="369"/>
      <c r="E364" s="85" t="s">
        <v>217</v>
      </c>
      <c r="F364" s="416"/>
      <c r="G364" s="79">
        <f t="shared" si="46"/>
        <v>0</v>
      </c>
      <c r="H364" s="465">
        <v>0</v>
      </c>
      <c r="I364" s="77">
        <v>0</v>
      </c>
      <c r="J364" s="77">
        <v>0</v>
      </c>
      <c r="K364" s="77"/>
      <c r="L364" s="21"/>
      <c r="N364" s="218"/>
      <c r="O364" s="123"/>
      <c r="P364" s="123"/>
      <c r="Q364" s="218"/>
      <c r="R364" s="218"/>
      <c r="S364" s="219"/>
      <c r="T364" s="130"/>
      <c r="U364" s="123"/>
      <c r="V364" s="123"/>
    </row>
    <row r="365" spans="1:22" ht="12.75">
      <c r="A365" s="367">
        <f t="shared" si="47"/>
        <v>346</v>
      </c>
      <c r="B365" s="368"/>
      <c r="C365" s="368">
        <v>25</v>
      </c>
      <c r="D365" s="369"/>
      <c r="E365" s="85" t="s">
        <v>218</v>
      </c>
      <c r="F365" s="416"/>
      <c r="G365" s="79">
        <f t="shared" si="46"/>
        <v>0</v>
      </c>
      <c r="H365" s="465">
        <v>0</v>
      </c>
      <c r="I365" s="77">
        <v>0</v>
      </c>
      <c r="J365" s="77">
        <v>0</v>
      </c>
      <c r="K365" s="77"/>
      <c r="L365" s="21"/>
      <c r="N365" s="218"/>
      <c r="O365" s="123"/>
      <c r="P365" s="123"/>
      <c r="Q365" s="218"/>
      <c r="R365" s="218"/>
      <c r="S365" s="219"/>
      <c r="T365" s="130"/>
      <c r="U365" s="123"/>
      <c r="V365" s="123"/>
    </row>
    <row r="366" spans="1:22" ht="12.75">
      <c r="A366" s="367">
        <f t="shared" si="47"/>
        <v>347</v>
      </c>
      <c r="B366" s="368"/>
      <c r="C366" s="368">
        <v>27</v>
      </c>
      <c r="D366" s="369"/>
      <c r="E366" s="85" t="s">
        <v>219</v>
      </c>
      <c r="F366" s="416"/>
      <c r="G366" s="79">
        <f t="shared" si="46"/>
        <v>0</v>
      </c>
      <c r="H366" s="465">
        <v>0</v>
      </c>
      <c r="I366" s="77">
        <v>0</v>
      </c>
      <c r="J366" s="77">
        <v>0</v>
      </c>
      <c r="K366" s="77"/>
      <c r="L366" s="21"/>
      <c r="N366" s="218"/>
      <c r="O366" s="123"/>
      <c r="P366" s="123"/>
      <c r="Q366" s="218"/>
      <c r="R366" s="218"/>
      <c r="S366" s="219"/>
      <c r="T366" s="130"/>
      <c r="U366" s="123"/>
      <c r="V366" s="123"/>
    </row>
    <row r="367" spans="1:22" ht="12.75">
      <c r="A367" s="367">
        <f t="shared" si="47"/>
        <v>348</v>
      </c>
      <c r="B367" s="368"/>
      <c r="C367" s="368">
        <v>30</v>
      </c>
      <c r="D367" s="369"/>
      <c r="E367" s="85" t="s">
        <v>120</v>
      </c>
      <c r="F367" s="49">
        <f>+F368+F369+F370+F371+F372</f>
        <v>0</v>
      </c>
      <c r="G367" s="50">
        <f t="shared" si="46"/>
        <v>0</v>
      </c>
      <c r="H367" s="166">
        <f>+H368+H369+H370+H371+H372</f>
        <v>0</v>
      </c>
      <c r="I367" s="166">
        <f>+I368+I369+I370+I371+I372</f>
        <v>0</v>
      </c>
      <c r="J367" s="166">
        <f>+J368+J369+J370+J371+J372</f>
        <v>0</v>
      </c>
      <c r="K367" s="166">
        <f>+K368+K369+K370+K371+K372</f>
        <v>0</v>
      </c>
      <c r="L367" s="21"/>
      <c r="N367" s="218"/>
      <c r="O367" s="123"/>
      <c r="P367" s="123"/>
      <c r="Q367" s="218"/>
      <c r="R367" s="218"/>
      <c r="S367" s="219"/>
      <c r="T367" s="130"/>
      <c r="U367" s="123"/>
      <c r="V367" s="123"/>
    </row>
    <row r="368" spans="1:22" ht="12.75">
      <c r="A368" s="367">
        <f t="shared" si="47"/>
        <v>349</v>
      </c>
      <c r="B368" s="368"/>
      <c r="C368" s="368"/>
      <c r="D368" s="379" t="s">
        <v>47</v>
      </c>
      <c r="E368" s="66" t="s">
        <v>220</v>
      </c>
      <c r="F368" s="416"/>
      <c r="G368" s="79">
        <f t="shared" si="46"/>
        <v>0</v>
      </c>
      <c r="H368" s="77">
        <v>0</v>
      </c>
      <c r="I368" s="77">
        <v>0</v>
      </c>
      <c r="J368" s="77">
        <v>0</v>
      </c>
      <c r="K368" s="77"/>
      <c r="L368" s="21"/>
      <c r="N368" s="218"/>
      <c r="O368" s="123"/>
      <c r="P368" s="123"/>
      <c r="Q368" s="123"/>
      <c r="R368" s="123"/>
      <c r="S368" s="123"/>
      <c r="T368" s="123"/>
      <c r="U368" s="123"/>
      <c r="V368" s="123"/>
    </row>
    <row r="369" spans="1:22" ht="12.75">
      <c r="A369" s="367">
        <f t="shared" si="47"/>
        <v>350</v>
      </c>
      <c r="B369" s="368"/>
      <c r="C369" s="368"/>
      <c r="D369" s="379" t="s">
        <v>84</v>
      </c>
      <c r="E369" s="66" t="s">
        <v>221</v>
      </c>
      <c r="F369" s="416"/>
      <c r="G369" s="79">
        <f t="shared" si="46"/>
        <v>0</v>
      </c>
      <c r="H369" s="77">
        <v>0</v>
      </c>
      <c r="I369" s="77">
        <v>0</v>
      </c>
      <c r="J369" s="77">
        <v>0</v>
      </c>
      <c r="K369" s="77"/>
      <c r="L369" s="21"/>
      <c r="N369" s="218"/>
      <c r="O369" s="123"/>
      <c r="P369" s="123"/>
      <c r="Q369" s="123"/>
      <c r="R369" s="123"/>
      <c r="S369" s="123"/>
      <c r="T369" s="123"/>
      <c r="U369" s="123"/>
      <c r="V369" s="123"/>
    </row>
    <row r="370" spans="1:22" ht="12.75">
      <c r="A370" s="367">
        <f t="shared" si="47"/>
        <v>351</v>
      </c>
      <c r="B370" s="368"/>
      <c r="C370" s="368"/>
      <c r="D370" s="379" t="s">
        <v>108</v>
      </c>
      <c r="E370" s="66" t="s">
        <v>222</v>
      </c>
      <c r="F370" s="416"/>
      <c r="G370" s="79">
        <f t="shared" si="46"/>
        <v>0</v>
      </c>
      <c r="H370" s="77">
        <v>0</v>
      </c>
      <c r="I370" s="77">
        <v>0</v>
      </c>
      <c r="J370" s="77">
        <v>0</v>
      </c>
      <c r="K370" s="77"/>
      <c r="L370" s="21"/>
      <c r="N370" s="218"/>
      <c r="O370" s="123"/>
      <c r="P370" s="123"/>
      <c r="Q370" s="123"/>
      <c r="R370" s="123"/>
      <c r="S370" s="123"/>
      <c r="T370" s="123"/>
      <c r="U370" s="123"/>
      <c r="V370" s="123"/>
    </row>
    <row r="371" spans="1:22" ht="12.75">
      <c r="A371" s="367">
        <f t="shared" si="47"/>
        <v>352</v>
      </c>
      <c r="B371" s="368"/>
      <c r="C371" s="368"/>
      <c r="D371" s="379" t="s">
        <v>160</v>
      </c>
      <c r="E371" s="66" t="s">
        <v>223</v>
      </c>
      <c r="F371" s="416"/>
      <c r="G371" s="79">
        <f t="shared" si="46"/>
        <v>0</v>
      </c>
      <c r="H371" s="77">
        <v>0</v>
      </c>
      <c r="I371" s="77">
        <v>0</v>
      </c>
      <c r="J371" s="77">
        <v>0</v>
      </c>
      <c r="K371" s="77"/>
      <c r="L371" s="21"/>
      <c r="N371" s="218"/>
      <c r="O371" s="123"/>
      <c r="P371" s="123"/>
      <c r="Q371" s="123"/>
      <c r="R371" s="123"/>
      <c r="S371" s="123"/>
      <c r="T371" s="123"/>
      <c r="U371" s="123"/>
      <c r="V371" s="123"/>
    </row>
    <row r="372" spans="1:22" ht="12.75">
      <c r="A372" s="367">
        <f t="shared" si="47"/>
        <v>353</v>
      </c>
      <c r="B372" s="368"/>
      <c r="C372" s="368"/>
      <c r="D372" s="369">
        <v>30</v>
      </c>
      <c r="E372" s="66" t="s">
        <v>224</v>
      </c>
      <c r="F372" s="416"/>
      <c r="G372" s="79">
        <f t="shared" si="46"/>
        <v>0</v>
      </c>
      <c r="H372" s="77">
        <v>0</v>
      </c>
      <c r="I372" s="77">
        <v>0</v>
      </c>
      <c r="J372" s="77">
        <v>0</v>
      </c>
      <c r="K372" s="77"/>
      <c r="L372" s="21"/>
      <c r="N372" s="218"/>
      <c r="O372" s="123"/>
      <c r="P372" s="123"/>
      <c r="Q372" s="123"/>
      <c r="R372" s="123"/>
      <c r="S372" s="123"/>
      <c r="T372" s="123"/>
      <c r="U372" s="123"/>
      <c r="V372" s="123"/>
    </row>
    <row r="373" spans="1:22" ht="12.75">
      <c r="A373" s="367">
        <f t="shared" si="47"/>
        <v>354</v>
      </c>
      <c r="B373" s="395">
        <v>30</v>
      </c>
      <c r="C373" s="395"/>
      <c r="D373" s="396"/>
      <c r="E373" s="418" t="s">
        <v>225</v>
      </c>
      <c r="F373" s="49">
        <f aca="true" t="shared" si="48" ref="F373:K374">+F374</f>
        <v>0</v>
      </c>
      <c r="G373" s="50">
        <f t="shared" si="46"/>
        <v>0</v>
      </c>
      <c r="H373" s="49">
        <f t="shared" si="48"/>
        <v>0</v>
      </c>
      <c r="I373" s="49">
        <f t="shared" si="48"/>
        <v>0</v>
      </c>
      <c r="J373" s="49">
        <f t="shared" si="48"/>
        <v>0</v>
      </c>
      <c r="K373" s="124">
        <f t="shared" si="48"/>
        <v>0</v>
      </c>
      <c r="L373" s="21"/>
      <c r="N373" s="218"/>
      <c r="O373" s="123"/>
      <c r="P373" s="123"/>
      <c r="Q373" s="123"/>
      <c r="R373" s="123"/>
      <c r="S373" s="123"/>
      <c r="T373" s="123"/>
      <c r="U373" s="123"/>
      <c r="V373" s="123"/>
    </row>
    <row r="374" spans="1:22" ht="12.75">
      <c r="A374" s="367">
        <f t="shared" si="47"/>
        <v>355</v>
      </c>
      <c r="B374" s="395"/>
      <c r="C374" s="401" t="s">
        <v>84</v>
      </c>
      <c r="D374" s="396"/>
      <c r="E374" s="418" t="s">
        <v>226</v>
      </c>
      <c r="F374" s="49">
        <f t="shared" si="48"/>
        <v>0</v>
      </c>
      <c r="G374" s="50">
        <f t="shared" si="46"/>
        <v>0</v>
      </c>
      <c r="H374" s="49">
        <f t="shared" si="48"/>
        <v>0</v>
      </c>
      <c r="I374" s="49">
        <f t="shared" si="48"/>
        <v>0</v>
      </c>
      <c r="J374" s="49">
        <f t="shared" si="48"/>
        <v>0</v>
      </c>
      <c r="K374" s="124">
        <f t="shared" si="48"/>
        <v>0</v>
      </c>
      <c r="L374" s="21"/>
      <c r="N374" s="218"/>
      <c r="O374" s="123"/>
      <c r="P374" s="123"/>
      <c r="Q374" s="123"/>
      <c r="R374" s="123"/>
      <c r="S374" s="123"/>
      <c r="T374" s="123"/>
      <c r="U374" s="123"/>
      <c r="V374" s="123"/>
    </row>
    <row r="375" spans="1:22" ht="12.75">
      <c r="A375" s="367">
        <f t="shared" si="47"/>
        <v>356</v>
      </c>
      <c r="B375" s="395"/>
      <c r="C375" s="401"/>
      <c r="D375" s="402" t="s">
        <v>41</v>
      </c>
      <c r="E375" s="419" t="s">
        <v>227</v>
      </c>
      <c r="F375" s="375"/>
      <c r="G375" s="79">
        <f t="shared" si="46"/>
        <v>0</v>
      </c>
      <c r="H375" s="375"/>
      <c r="I375" s="375"/>
      <c r="J375" s="375"/>
      <c r="K375" s="412"/>
      <c r="L375" s="21"/>
      <c r="N375" s="218"/>
      <c r="O375" s="123"/>
      <c r="P375" s="123"/>
      <c r="Q375" s="123"/>
      <c r="R375" s="123"/>
      <c r="S375" s="123"/>
      <c r="T375" s="123"/>
      <c r="U375" s="123"/>
      <c r="V375" s="123"/>
    </row>
    <row r="376" spans="1:22" ht="25.5">
      <c r="A376" s="367">
        <f t="shared" si="47"/>
        <v>357</v>
      </c>
      <c r="B376" s="404" t="s">
        <v>228</v>
      </c>
      <c r="C376" s="401"/>
      <c r="D376" s="402"/>
      <c r="E376" s="413" t="s">
        <v>229</v>
      </c>
      <c r="F376" s="375"/>
      <c r="G376" s="79">
        <f t="shared" si="46"/>
        <v>0</v>
      </c>
      <c r="H376" s="375"/>
      <c r="I376" s="375"/>
      <c r="J376" s="375"/>
      <c r="K376" s="447"/>
      <c r="L376" s="21"/>
      <c r="N376" s="218"/>
      <c r="O376" s="123"/>
      <c r="P376" s="123"/>
      <c r="Q376" s="123"/>
      <c r="R376" s="123"/>
      <c r="S376" s="123"/>
      <c r="T376" s="123"/>
      <c r="U376" s="123"/>
      <c r="V376" s="123"/>
    </row>
    <row r="377" spans="1:22" ht="12.75">
      <c r="A377" s="367">
        <f t="shared" si="47"/>
        <v>358</v>
      </c>
      <c r="B377" s="395">
        <v>57</v>
      </c>
      <c r="C377" s="401"/>
      <c r="D377" s="402"/>
      <c r="E377" s="418" t="s">
        <v>230</v>
      </c>
      <c r="F377" s="109">
        <f aca="true" t="shared" si="49" ref="F377:K378">F378</f>
        <v>0</v>
      </c>
      <c r="G377" s="109">
        <f t="shared" si="46"/>
        <v>0</v>
      </c>
      <c r="H377" s="109">
        <f t="shared" si="49"/>
        <v>0</v>
      </c>
      <c r="I377" s="109">
        <f t="shared" si="49"/>
        <v>0</v>
      </c>
      <c r="J377" s="109">
        <f t="shared" si="49"/>
        <v>0</v>
      </c>
      <c r="K377" s="109">
        <f t="shared" si="49"/>
        <v>0</v>
      </c>
      <c r="L377" s="21"/>
      <c r="N377" s="218"/>
      <c r="O377" s="123"/>
      <c r="P377" s="123"/>
      <c r="Q377" s="123"/>
      <c r="R377" s="123"/>
      <c r="S377" s="123"/>
      <c r="T377" s="123"/>
      <c r="U377" s="123"/>
      <c r="V377" s="123"/>
    </row>
    <row r="378" spans="1:22" ht="12.75">
      <c r="A378" s="367">
        <f t="shared" si="47"/>
        <v>359</v>
      </c>
      <c r="B378" s="395"/>
      <c r="C378" s="401" t="s">
        <v>47</v>
      </c>
      <c r="D378" s="402"/>
      <c r="E378" s="418" t="s">
        <v>231</v>
      </c>
      <c r="F378" s="109">
        <f t="shared" si="49"/>
        <v>0</v>
      </c>
      <c r="G378" s="109">
        <f t="shared" si="46"/>
        <v>0</v>
      </c>
      <c r="H378" s="109">
        <f t="shared" si="49"/>
        <v>0</v>
      </c>
      <c r="I378" s="109">
        <f t="shared" si="49"/>
        <v>0</v>
      </c>
      <c r="J378" s="109">
        <f t="shared" si="49"/>
        <v>0</v>
      </c>
      <c r="K378" s="109">
        <f t="shared" si="49"/>
        <v>0</v>
      </c>
      <c r="L378" s="21"/>
      <c r="N378" s="218"/>
      <c r="O378" s="123"/>
      <c r="P378" s="123"/>
      <c r="Q378" s="123"/>
      <c r="R378" s="123"/>
      <c r="S378" s="123"/>
      <c r="T378" s="123"/>
      <c r="U378" s="123"/>
      <c r="V378" s="123"/>
    </row>
    <row r="379" spans="1:22" ht="12.75">
      <c r="A379" s="367">
        <f t="shared" si="47"/>
        <v>360</v>
      </c>
      <c r="B379" s="395"/>
      <c r="C379" s="401" t="s">
        <v>80</v>
      </c>
      <c r="D379" s="402"/>
      <c r="E379" s="419" t="s">
        <v>232</v>
      </c>
      <c r="F379" s="109">
        <f>F380+F381+F382+F383</f>
        <v>0</v>
      </c>
      <c r="G379" s="109">
        <f t="shared" si="46"/>
        <v>0</v>
      </c>
      <c r="H379" s="109">
        <f>H380+H381+H382+H383</f>
        <v>0</v>
      </c>
      <c r="I379" s="109">
        <f>I380+I381+I382+I383</f>
        <v>0</v>
      </c>
      <c r="J379" s="109">
        <f>J380+J381+J382+J383</f>
        <v>0</v>
      </c>
      <c r="K379" s="420">
        <f>K380+K381+K382+K383</f>
        <v>0</v>
      </c>
      <c r="L379" s="21"/>
      <c r="N379" s="218"/>
      <c r="O379" s="123"/>
      <c r="P379" s="123"/>
      <c r="Q379" s="123"/>
      <c r="R379" s="123"/>
      <c r="S379" s="123"/>
      <c r="T379" s="123"/>
      <c r="U379" s="123"/>
      <c r="V379" s="123"/>
    </row>
    <row r="380" spans="1:22" ht="12.75">
      <c r="A380" s="367">
        <f t="shared" si="47"/>
        <v>361</v>
      </c>
      <c r="B380" s="395"/>
      <c r="C380" s="401"/>
      <c r="D380" s="402" t="s">
        <v>47</v>
      </c>
      <c r="E380" s="419" t="s">
        <v>233</v>
      </c>
      <c r="F380" s="375"/>
      <c r="G380" s="109">
        <f t="shared" si="46"/>
        <v>0</v>
      </c>
      <c r="H380" s="375"/>
      <c r="I380" s="375"/>
      <c r="J380" s="375"/>
      <c r="K380" s="412"/>
      <c r="L380" s="21"/>
      <c r="N380" s="218"/>
      <c r="O380" s="123"/>
      <c r="P380" s="123"/>
      <c r="Q380" s="123"/>
      <c r="R380" s="123"/>
      <c r="S380" s="123"/>
      <c r="T380" s="123"/>
      <c r="U380" s="123"/>
      <c r="V380" s="123"/>
    </row>
    <row r="381" spans="1:22" ht="12.75">
      <c r="A381" s="367">
        <f t="shared" si="47"/>
        <v>362</v>
      </c>
      <c r="B381" s="395"/>
      <c r="C381" s="401"/>
      <c r="D381" s="402" t="s">
        <v>80</v>
      </c>
      <c r="E381" s="419" t="s">
        <v>234</v>
      </c>
      <c r="F381" s="375"/>
      <c r="G381" s="109">
        <f t="shared" si="46"/>
        <v>0</v>
      </c>
      <c r="H381" s="375"/>
      <c r="I381" s="375"/>
      <c r="J381" s="375"/>
      <c r="K381" s="412"/>
      <c r="L381" s="21"/>
      <c r="N381" s="218"/>
      <c r="O381" s="123"/>
      <c r="P381" s="123"/>
      <c r="Q381" s="123"/>
      <c r="R381" s="123"/>
      <c r="S381" s="123"/>
      <c r="T381" s="123"/>
      <c r="U381" s="123"/>
      <c r="V381" s="123"/>
    </row>
    <row r="382" spans="1:22" ht="12.75">
      <c r="A382" s="367">
        <f t="shared" si="47"/>
        <v>363</v>
      </c>
      <c r="B382" s="395"/>
      <c r="C382" s="401"/>
      <c r="D382" s="402" t="s">
        <v>84</v>
      </c>
      <c r="E382" s="419" t="s">
        <v>235</v>
      </c>
      <c r="F382" s="375"/>
      <c r="G382" s="109">
        <f t="shared" si="46"/>
        <v>0</v>
      </c>
      <c r="H382" s="375"/>
      <c r="I382" s="375"/>
      <c r="J382" s="375"/>
      <c r="K382" s="412"/>
      <c r="L382" s="21"/>
      <c r="N382" s="218"/>
      <c r="O382" s="123"/>
      <c r="P382" s="123"/>
      <c r="Q382" s="123"/>
      <c r="R382" s="123"/>
      <c r="S382" s="123"/>
      <c r="T382" s="123"/>
      <c r="U382" s="123"/>
      <c r="V382" s="123"/>
    </row>
    <row r="383" spans="1:22" ht="12.75">
      <c r="A383" s="367">
        <f t="shared" si="47"/>
        <v>364</v>
      </c>
      <c r="B383" s="395"/>
      <c r="C383" s="401"/>
      <c r="D383" s="402" t="s">
        <v>108</v>
      </c>
      <c r="E383" s="419" t="s">
        <v>236</v>
      </c>
      <c r="F383" s="375"/>
      <c r="G383" s="109">
        <f t="shared" si="46"/>
        <v>0</v>
      </c>
      <c r="H383" s="375"/>
      <c r="I383" s="375"/>
      <c r="J383" s="375"/>
      <c r="K383" s="412"/>
      <c r="L383" s="21"/>
      <c r="N383" s="218"/>
      <c r="O383" s="123"/>
      <c r="P383" s="123"/>
      <c r="Q383" s="123"/>
      <c r="R383" s="123"/>
      <c r="S383" s="123"/>
      <c r="T383" s="123"/>
      <c r="U383" s="123"/>
      <c r="V383" s="123"/>
    </row>
    <row r="384" spans="1:22" ht="12.75">
      <c r="A384" s="367">
        <f t="shared" si="47"/>
        <v>365</v>
      </c>
      <c r="B384" s="368">
        <v>70</v>
      </c>
      <c r="C384" s="368"/>
      <c r="D384" s="86"/>
      <c r="E384" s="85" t="s">
        <v>288</v>
      </c>
      <c r="F384" s="49">
        <f>+F385</f>
        <v>0</v>
      </c>
      <c r="G384" s="50">
        <f t="shared" si="46"/>
        <v>1300</v>
      </c>
      <c r="H384" s="49">
        <f>+H385</f>
        <v>1300</v>
      </c>
      <c r="I384" s="49">
        <f>+I385</f>
        <v>0</v>
      </c>
      <c r="J384" s="49">
        <f>+J385</f>
        <v>0</v>
      </c>
      <c r="K384" s="49">
        <f>+K385</f>
        <v>0</v>
      </c>
      <c r="L384" s="21"/>
      <c r="M384" s="49"/>
      <c r="N384" s="218"/>
      <c r="O384" s="123"/>
      <c r="P384" s="123"/>
      <c r="Q384" s="123"/>
      <c r="R384" s="123"/>
      <c r="S384" s="123"/>
      <c r="T384" s="123"/>
      <c r="U384" s="123"/>
      <c r="V384" s="123"/>
    </row>
    <row r="385" spans="1:22" ht="12.75">
      <c r="A385" s="367">
        <f t="shared" si="47"/>
        <v>366</v>
      </c>
      <c r="B385" s="368">
        <v>71</v>
      </c>
      <c r="C385" s="368"/>
      <c r="D385" s="369"/>
      <c r="E385" s="85" t="s">
        <v>238</v>
      </c>
      <c r="F385" s="49">
        <f>+F386+F391</f>
        <v>0</v>
      </c>
      <c r="G385" s="50">
        <f t="shared" si="46"/>
        <v>1300</v>
      </c>
      <c r="H385" s="49">
        <f>+H386+H391</f>
        <v>1300</v>
      </c>
      <c r="I385" s="49">
        <f>+I386+I391</f>
        <v>0</v>
      </c>
      <c r="J385" s="49">
        <f>+J386+J391</f>
        <v>0</v>
      </c>
      <c r="K385" s="124">
        <f>+K386+K391</f>
        <v>0</v>
      </c>
      <c r="L385" s="21"/>
      <c r="M385" s="124"/>
      <c r="N385" s="218"/>
      <c r="O385" s="123"/>
      <c r="P385" s="123"/>
      <c r="Q385" s="123"/>
      <c r="R385" s="123"/>
      <c r="S385" s="123"/>
      <c r="T385" s="123"/>
      <c r="U385" s="123"/>
      <c r="V385" s="123"/>
    </row>
    <row r="386" spans="1:22" ht="12.75">
      <c r="A386" s="367">
        <f t="shared" si="47"/>
        <v>367</v>
      </c>
      <c r="B386" s="368"/>
      <c r="C386" s="377" t="s">
        <v>47</v>
      </c>
      <c r="D386" s="369"/>
      <c r="E386" s="85" t="s">
        <v>77</v>
      </c>
      <c r="F386" s="49">
        <f>+F387+F388+F389+F390</f>
        <v>0</v>
      </c>
      <c r="G386" s="50">
        <f t="shared" si="46"/>
        <v>1300</v>
      </c>
      <c r="H386" s="49">
        <f>+H387+H388+H389+H390</f>
        <v>1300</v>
      </c>
      <c r="I386" s="49">
        <f>+I387+I388+I389+I390</f>
        <v>0</v>
      </c>
      <c r="J386" s="49">
        <f>+J387+J388+J389+J390</f>
        <v>0</v>
      </c>
      <c r="K386" s="124">
        <f>+K387+K388+K389+K390</f>
        <v>0</v>
      </c>
      <c r="L386" s="21"/>
      <c r="M386" s="124"/>
      <c r="N386" s="218"/>
      <c r="O386" s="123"/>
      <c r="P386" s="123"/>
      <c r="Q386" s="123"/>
      <c r="R386" s="123"/>
      <c r="S386" s="123"/>
      <c r="T386" s="123"/>
      <c r="U386" s="123"/>
      <c r="V386" s="123"/>
    </row>
    <row r="387" spans="1:22" ht="12.75">
      <c r="A387" s="367">
        <f t="shared" si="47"/>
        <v>368</v>
      </c>
      <c r="B387" s="368"/>
      <c r="C387" s="368"/>
      <c r="D387" s="379" t="s">
        <v>47</v>
      </c>
      <c r="E387" s="66" t="s">
        <v>239</v>
      </c>
      <c r="F387" s="416"/>
      <c r="G387" s="79">
        <f t="shared" si="46"/>
        <v>0</v>
      </c>
      <c r="H387" s="416"/>
      <c r="I387" s="416"/>
      <c r="J387" s="416"/>
      <c r="K387" s="416"/>
      <c r="L387" s="21"/>
      <c r="N387" s="218"/>
      <c r="O387" s="123"/>
      <c r="P387" s="123"/>
      <c r="Q387" s="123"/>
      <c r="R387" s="123"/>
      <c r="S387" s="123"/>
      <c r="T387" s="123"/>
      <c r="U387" s="123"/>
      <c r="V387" s="123"/>
    </row>
    <row r="388" spans="1:22" ht="12.75">
      <c r="A388" s="367">
        <f t="shared" si="47"/>
        <v>369</v>
      </c>
      <c r="B388" s="368"/>
      <c r="C388" s="368"/>
      <c r="D388" s="379" t="s">
        <v>80</v>
      </c>
      <c r="E388" s="66" t="s">
        <v>81</v>
      </c>
      <c r="F388" s="416"/>
      <c r="G388" s="79">
        <f t="shared" si="46"/>
        <v>1300</v>
      </c>
      <c r="H388" s="416">
        <v>1300</v>
      </c>
      <c r="I388" s="416">
        <v>0</v>
      </c>
      <c r="J388" s="416"/>
      <c r="K388" s="416"/>
      <c r="L388" s="21"/>
      <c r="M388" s="231"/>
      <c r="N388" s="218"/>
      <c r="O388" s="123"/>
      <c r="P388" s="123"/>
      <c r="Q388" s="123"/>
      <c r="R388" s="123"/>
      <c r="S388" s="123"/>
      <c r="T388" s="123"/>
      <c r="U388" s="123"/>
      <c r="V388" s="123"/>
    </row>
    <row r="389" spans="1:22" ht="12.75">
      <c r="A389" s="367">
        <f t="shared" si="47"/>
        <v>370</v>
      </c>
      <c r="B389" s="368"/>
      <c r="C389" s="368"/>
      <c r="D389" s="379" t="s">
        <v>84</v>
      </c>
      <c r="E389" s="66" t="s">
        <v>245</v>
      </c>
      <c r="F389" s="416"/>
      <c r="G389" s="79">
        <f t="shared" si="46"/>
        <v>0</v>
      </c>
      <c r="H389" s="416"/>
      <c r="I389" s="416"/>
      <c r="J389" s="416"/>
      <c r="K389" s="416"/>
      <c r="L389" s="21"/>
      <c r="N389" s="218"/>
      <c r="O389" s="123"/>
      <c r="P389" s="123"/>
      <c r="Q389" s="123"/>
      <c r="R389" s="123"/>
      <c r="S389" s="123"/>
      <c r="T389" s="123"/>
      <c r="U389" s="123"/>
      <c r="V389" s="123"/>
    </row>
    <row r="390" spans="1:22" ht="12.75">
      <c r="A390" s="367">
        <f t="shared" si="47"/>
        <v>371</v>
      </c>
      <c r="B390" s="368"/>
      <c r="C390" s="368"/>
      <c r="D390" s="369">
        <v>30</v>
      </c>
      <c r="E390" s="66" t="s">
        <v>275</v>
      </c>
      <c r="F390" s="416"/>
      <c r="G390" s="79">
        <f t="shared" si="46"/>
        <v>0</v>
      </c>
      <c r="H390" s="416"/>
      <c r="I390" s="416"/>
      <c r="J390" s="416"/>
      <c r="K390" s="416"/>
      <c r="L390" s="21"/>
      <c r="N390" s="218"/>
      <c r="O390" s="123"/>
      <c r="P390" s="123"/>
      <c r="Q390" s="123"/>
      <c r="R390" s="123"/>
      <c r="S390" s="123"/>
      <c r="T390" s="123"/>
      <c r="U390" s="123"/>
      <c r="V390" s="123"/>
    </row>
    <row r="391" spans="1:22" ht="12.75">
      <c r="A391" s="367">
        <f t="shared" si="47"/>
        <v>372</v>
      </c>
      <c r="B391" s="368"/>
      <c r="C391" s="377" t="s">
        <v>84</v>
      </c>
      <c r="D391" s="369"/>
      <c r="E391" s="66" t="s">
        <v>243</v>
      </c>
      <c r="F391" s="416"/>
      <c r="G391" s="79">
        <f t="shared" si="46"/>
        <v>0</v>
      </c>
      <c r="H391" s="416"/>
      <c r="I391" s="416"/>
      <c r="J391" s="416"/>
      <c r="K391" s="416"/>
      <c r="L391" s="21"/>
      <c r="N391" s="218"/>
      <c r="O391" s="123"/>
      <c r="P391" s="123"/>
      <c r="Q391" s="123"/>
      <c r="R391" s="123"/>
      <c r="S391" s="123"/>
      <c r="T391" s="123"/>
      <c r="U391" s="123"/>
      <c r="V391" s="123"/>
    </row>
    <row r="392" spans="1:22" ht="12.75">
      <c r="A392" s="367">
        <f t="shared" si="47"/>
        <v>373</v>
      </c>
      <c r="B392" s="368"/>
      <c r="C392" s="368"/>
      <c r="D392" s="369"/>
      <c r="E392" s="85" t="s">
        <v>244</v>
      </c>
      <c r="F392" s="49">
        <f>+F393+F394+F395</f>
        <v>0</v>
      </c>
      <c r="G392" s="50">
        <f t="shared" si="46"/>
        <v>0</v>
      </c>
      <c r="H392" s="49">
        <f>+H393+H394+H395</f>
        <v>0</v>
      </c>
      <c r="I392" s="49">
        <f>+I393+I394+I395</f>
        <v>0</v>
      </c>
      <c r="J392" s="49">
        <f>+J393+J394+J395</f>
        <v>0</v>
      </c>
      <c r="K392" s="124">
        <f>+K393+K394+K395</f>
        <v>0</v>
      </c>
      <c r="L392" s="21"/>
      <c r="N392" s="123"/>
      <c r="O392" s="123"/>
      <c r="P392" s="123"/>
      <c r="Q392" s="123"/>
      <c r="R392" s="123"/>
      <c r="S392" s="123"/>
      <c r="T392" s="123"/>
      <c r="U392" s="123"/>
      <c r="V392" s="123"/>
    </row>
    <row r="393" spans="1:22" ht="12.75">
      <c r="A393" s="367">
        <f t="shared" si="47"/>
        <v>374</v>
      </c>
      <c r="B393" s="368">
        <v>71</v>
      </c>
      <c r="C393" s="377" t="s">
        <v>47</v>
      </c>
      <c r="D393" s="379" t="s">
        <v>80</v>
      </c>
      <c r="E393" s="66" t="s">
        <v>81</v>
      </c>
      <c r="F393" s="375"/>
      <c r="G393" s="79">
        <f>H393+I393+J393+K393</f>
        <v>0</v>
      </c>
      <c r="H393" s="375"/>
      <c r="I393" s="375"/>
      <c r="J393" s="375"/>
      <c r="K393" s="412"/>
      <c r="L393" s="21"/>
      <c r="N393" s="123"/>
      <c r="O393" s="123"/>
      <c r="P393" s="123"/>
      <c r="Q393" s="123"/>
      <c r="R393" s="123"/>
      <c r="S393" s="123"/>
      <c r="T393" s="123"/>
      <c r="U393" s="123"/>
      <c r="V393" s="123"/>
    </row>
    <row r="394" spans="1:22" ht="12.75">
      <c r="A394" s="367">
        <f t="shared" si="47"/>
        <v>375</v>
      </c>
      <c r="B394" s="368"/>
      <c r="C394" s="368"/>
      <c r="D394" s="379" t="s">
        <v>84</v>
      </c>
      <c r="E394" s="66" t="s">
        <v>245</v>
      </c>
      <c r="F394" s="375"/>
      <c r="G394" s="79">
        <f>H394+I394+J394+K394</f>
        <v>0</v>
      </c>
      <c r="H394" s="375"/>
      <c r="I394" s="375"/>
      <c r="J394" s="375"/>
      <c r="K394" s="412"/>
      <c r="L394" s="21"/>
      <c r="N394" s="123"/>
      <c r="O394" s="123"/>
      <c r="P394" s="123"/>
      <c r="Q394" s="123"/>
      <c r="R394" s="123"/>
      <c r="S394" s="123"/>
      <c r="T394" s="123"/>
      <c r="U394" s="123"/>
      <c r="V394" s="123"/>
    </row>
    <row r="395" spans="1:22" ht="12.75">
      <c r="A395" s="367">
        <f t="shared" si="47"/>
        <v>376</v>
      </c>
      <c r="B395" s="368"/>
      <c r="C395" s="368"/>
      <c r="D395" s="369">
        <v>30</v>
      </c>
      <c r="E395" s="97" t="s">
        <v>242</v>
      </c>
      <c r="F395" s="375"/>
      <c r="G395" s="79">
        <f>H395+I395+J395+K395</f>
        <v>0</v>
      </c>
      <c r="H395" s="375"/>
      <c r="I395" s="375"/>
      <c r="J395" s="375"/>
      <c r="K395" s="412"/>
      <c r="L395" s="21"/>
      <c r="N395" s="123"/>
      <c r="O395" s="123"/>
      <c r="P395" s="123"/>
      <c r="Q395" s="123"/>
      <c r="R395" s="123"/>
      <c r="S395" s="123"/>
      <c r="T395" s="123"/>
      <c r="U395" s="123"/>
      <c r="V395" s="123"/>
    </row>
    <row r="396" spans="1:22" ht="12.75">
      <c r="A396" s="367">
        <f t="shared" si="47"/>
        <v>377</v>
      </c>
      <c r="B396" s="368" t="s">
        <v>18</v>
      </c>
      <c r="C396" s="368" t="s">
        <v>247</v>
      </c>
      <c r="D396" s="86" t="s">
        <v>20</v>
      </c>
      <c r="E396" s="66"/>
      <c r="F396" s="375"/>
      <c r="G396" s="79">
        <f>H396+I396+J396+K396</f>
        <v>0</v>
      </c>
      <c r="H396" s="375"/>
      <c r="I396" s="375"/>
      <c r="J396" s="375"/>
      <c r="K396" s="412"/>
      <c r="L396" s="21"/>
      <c r="N396" s="123"/>
      <c r="O396" s="123"/>
      <c r="P396" s="123"/>
      <c r="Q396" s="123"/>
      <c r="R396" s="123"/>
      <c r="S396" s="123"/>
      <c r="T396" s="123"/>
      <c r="U396" s="123"/>
      <c r="V396" s="123"/>
    </row>
    <row r="397" spans="1:22" ht="12.75">
      <c r="A397" s="367">
        <f t="shared" si="47"/>
        <v>378</v>
      </c>
      <c r="B397" s="368"/>
      <c r="C397" s="368"/>
      <c r="D397" s="369"/>
      <c r="E397" s="85" t="s">
        <v>276</v>
      </c>
      <c r="F397" s="79"/>
      <c r="G397" s="79"/>
      <c r="H397" s="79"/>
      <c r="I397" s="79"/>
      <c r="J397" s="79"/>
      <c r="K397" s="393"/>
      <c r="L397" s="21"/>
      <c r="N397" s="123"/>
      <c r="O397" s="123"/>
      <c r="P397" s="123"/>
      <c r="Q397" s="123"/>
      <c r="R397" s="123"/>
      <c r="S397" s="123"/>
      <c r="T397" s="123"/>
      <c r="U397" s="123"/>
      <c r="V397" s="123"/>
    </row>
    <row r="398" spans="1:22" ht="12.75">
      <c r="A398" s="367">
        <f t="shared" si="47"/>
        <v>379</v>
      </c>
      <c r="B398" s="368"/>
      <c r="C398" s="368"/>
      <c r="D398" s="369"/>
      <c r="E398" s="59" t="s">
        <v>249</v>
      </c>
      <c r="F398" s="49">
        <f>+F399+F402+F403</f>
        <v>0</v>
      </c>
      <c r="G398" s="50">
        <f aca="true" t="shared" si="50" ref="G398:G410">H398+I398+J398+K398</f>
        <v>18614</v>
      </c>
      <c r="H398" s="49">
        <f>+H399+H402+H403+H407</f>
        <v>7538</v>
      </c>
      <c r="I398" s="49">
        <f>+I399+I402+I403+I407</f>
        <v>6615</v>
      </c>
      <c r="J398" s="49">
        <f>+J399+J402+J403+J407</f>
        <v>4461</v>
      </c>
      <c r="K398" s="49">
        <f>+K399+K402+K403+K407</f>
        <v>0</v>
      </c>
      <c r="L398" s="21"/>
      <c r="N398" s="123"/>
      <c r="O398" s="123"/>
      <c r="P398" s="123"/>
      <c r="Q398" s="123"/>
      <c r="R398" s="123"/>
      <c r="S398" s="123"/>
      <c r="T398" s="123"/>
      <c r="U398" s="123"/>
      <c r="V398" s="123"/>
    </row>
    <row r="399" spans="1:22" ht="12.75">
      <c r="A399" s="367">
        <f t="shared" si="47"/>
        <v>380</v>
      </c>
      <c r="B399" s="368"/>
      <c r="C399" s="377" t="s">
        <v>108</v>
      </c>
      <c r="D399" s="369"/>
      <c r="E399" s="59" t="s">
        <v>250</v>
      </c>
      <c r="F399" s="49">
        <f>+F400+F401</f>
        <v>0</v>
      </c>
      <c r="G399" s="50">
        <f t="shared" si="50"/>
        <v>0</v>
      </c>
      <c r="H399" s="49">
        <f>+H400+H401</f>
        <v>0</v>
      </c>
      <c r="I399" s="49">
        <f>+I400+I401</f>
        <v>0</v>
      </c>
      <c r="J399" s="49">
        <f>+J400+J401</f>
        <v>0</v>
      </c>
      <c r="K399" s="124">
        <f>+K400+K401</f>
        <v>0</v>
      </c>
      <c r="L399" s="21"/>
      <c r="N399" s="123"/>
      <c r="O399" s="123"/>
      <c r="P399" s="123"/>
      <c r="Q399" s="123"/>
      <c r="R399" s="123"/>
      <c r="S399" s="123"/>
      <c r="T399" s="123"/>
      <c r="U399" s="123"/>
      <c r="V399" s="123"/>
    </row>
    <row r="400" spans="1:22" ht="12.75">
      <c r="A400" s="367">
        <f t="shared" si="47"/>
        <v>381</v>
      </c>
      <c r="B400" s="368"/>
      <c r="C400" s="368"/>
      <c r="D400" s="379" t="s">
        <v>80</v>
      </c>
      <c r="E400" s="66" t="s">
        <v>251</v>
      </c>
      <c r="F400" s="375">
        <v>0</v>
      </c>
      <c r="G400" s="79">
        <f t="shared" si="50"/>
        <v>0</v>
      </c>
      <c r="H400" s="375">
        <v>0</v>
      </c>
      <c r="I400" s="375">
        <v>0</v>
      </c>
      <c r="J400" s="375">
        <v>0</v>
      </c>
      <c r="K400" s="412">
        <v>0</v>
      </c>
      <c r="L400" s="21"/>
      <c r="N400" s="123"/>
      <c r="O400" s="123"/>
      <c r="P400" s="123"/>
      <c r="Q400" s="123"/>
      <c r="R400" s="123"/>
      <c r="S400" s="123"/>
      <c r="T400" s="123"/>
      <c r="U400" s="123"/>
      <c r="V400" s="123"/>
    </row>
    <row r="401" spans="1:22" ht="12.75">
      <c r="A401" s="367">
        <f t="shared" si="47"/>
        <v>382</v>
      </c>
      <c r="B401" s="368"/>
      <c r="C401" s="368"/>
      <c r="D401" s="369">
        <v>50</v>
      </c>
      <c r="E401" s="66" t="s">
        <v>278</v>
      </c>
      <c r="F401" s="375"/>
      <c r="G401" s="79">
        <f t="shared" si="50"/>
        <v>0</v>
      </c>
      <c r="H401" s="375"/>
      <c r="I401" s="375"/>
      <c r="J401" s="375"/>
      <c r="K401" s="412"/>
      <c r="L401" s="21"/>
      <c r="N401" s="123"/>
      <c r="O401" s="123"/>
      <c r="P401" s="123"/>
      <c r="Q401" s="123"/>
      <c r="R401" s="123"/>
      <c r="S401" s="123"/>
      <c r="T401" s="123"/>
      <c r="U401" s="123"/>
      <c r="V401" s="123"/>
    </row>
    <row r="402" spans="1:22" ht="12.75">
      <c r="A402" s="367">
        <f t="shared" si="47"/>
        <v>383</v>
      </c>
      <c r="B402" s="368"/>
      <c r="C402" s="377" t="s">
        <v>41</v>
      </c>
      <c r="D402" s="369"/>
      <c r="E402" s="59" t="s">
        <v>253</v>
      </c>
      <c r="F402" s="375">
        <v>0</v>
      </c>
      <c r="G402" s="79">
        <f t="shared" si="50"/>
        <v>0</v>
      </c>
      <c r="H402" s="375">
        <v>0</v>
      </c>
      <c r="I402" s="375">
        <v>0</v>
      </c>
      <c r="J402" s="375">
        <v>0</v>
      </c>
      <c r="K402" s="412">
        <v>0</v>
      </c>
      <c r="L402" s="21"/>
      <c r="N402" s="123"/>
      <c r="O402" s="123"/>
      <c r="P402" s="123"/>
      <c r="Q402" s="123"/>
      <c r="R402" s="123"/>
      <c r="S402" s="123"/>
      <c r="T402" s="123"/>
      <c r="U402" s="123"/>
      <c r="V402" s="123"/>
    </row>
    <row r="403" spans="1:22" ht="12.75">
      <c r="A403" s="367">
        <f t="shared" si="47"/>
        <v>384</v>
      </c>
      <c r="B403" s="368"/>
      <c r="C403" s="377" t="s">
        <v>154</v>
      </c>
      <c r="D403" s="369"/>
      <c r="E403" s="59" t="s">
        <v>289</v>
      </c>
      <c r="F403" s="49">
        <f>+F404+F405</f>
        <v>0</v>
      </c>
      <c r="G403" s="50">
        <f t="shared" si="50"/>
        <v>18614</v>
      </c>
      <c r="H403" s="49">
        <f>+H404+H405+H406</f>
        <v>7538</v>
      </c>
      <c r="I403" s="49">
        <f>+I404+I405+I406</f>
        <v>6615</v>
      </c>
      <c r="J403" s="49">
        <f>+J404+J405+J406</f>
        <v>4461</v>
      </c>
      <c r="K403" s="49">
        <f>+K404+K405+K406</f>
        <v>0</v>
      </c>
      <c r="L403" s="21"/>
      <c r="N403" s="123"/>
      <c r="O403" s="123"/>
      <c r="P403" s="123"/>
      <c r="Q403" s="123"/>
      <c r="R403" s="123"/>
      <c r="S403" s="123"/>
      <c r="T403" s="123"/>
      <c r="U403" s="123"/>
      <c r="V403" s="123"/>
    </row>
    <row r="404" spans="1:22" ht="12.75">
      <c r="A404" s="367">
        <f t="shared" si="47"/>
        <v>385</v>
      </c>
      <c r="B404" s="368"/>
      <c r="C404" s="368"/>
      <c r="D404" s="379" t="s">
        <v>47</v>
      </c>
      <c r="E404" s="66" t="s">
        <v>255</v>
      </c>
      <c r="F404" s="375"/>
      <c r="G404" s="79">
        <f t="shared" si="50"/>
        <v>18614</v>
      </c>
      <c r="H404" s="375">
        <v>7538</v>
      </c>
      <c r="I404" s="375">
        <v>6615</v>
      </c>
      <c r="J404" s="375">
        <v>4461</v>
      </c>
      <c r="K404" s="375">
        <v>0</v>
      </c>
      <c r="L404" s="21"/>
      <c r="N404" s="123"/>
      <c r="O404" s="123"/>
      <c r="P404" s="123"/>
      <c r="Q404" s="123"/>
      <c r="R404" s="123"/>
      <c r="S404" s="123"/>
      <c r="T404" s="123"/>
      <c r="U404" s="123"/>
      <c r="V404" s="123"/>
    </row>
    <row r="405" spans="1:12" ht="12.75">
      <c r="A405" s="367">
        <f t="shared" si="47"/>
        <v>386</v>
      </c>
      <c r="B405" s="368"/>
      <c r="C405" s="368"/>
      <c r="D405" s="379" t="s">
        <v>154</v>
      </c>
      <c r="E405" s="66" t="s">
        <v>256</v>
      </c>
      <c r="F405" s="375"/>
      <c r="G405" s="79">
        <f t="shared" si="50"/>
        <v>0</v>
      </c>
      <c r="H405" s="375"/>
      <c r="I405" s="375"/>
      <c r="J405" s="375"/>
      <c r="K405" s="412"/>
      <c r="L405" s="21"/>
    </row>
    <row r="406" spans="1:12" ht="12.75">
      <c r="A406" s="367">
        <f t="shared" si="47"/>
        <v>387</v>
      </c>
      <c r="B406" s="368"/>
      <c r="C406" s="379">
        <v>10</v>
      </c>
      <c r="D406" s="379"/>
      <c r="E406" s="66" t="s">
        <v>290</v>
      </c>
      <c r="F406" s="375"/>
      <c r="G406" s="79">
        <f t="shared" si="50"/>
        <v>0</v>
      </c>
      <c r="H406" s="375"/>
      <c r="I406" s="375"/>
      <c r="J406" s="375"/>
      <c r="K406" s="412"/>
      <c r="L406" s="21"/>
    </row>
    <row r="407" spans="1:12" ht="12.75">
      <c r="A407" s="367">
        <f t="shared" si="47"/>
        <v>388</v>
      </c>
      <c r="B407" s="368"/>
      <c r="C407" s="421">
        <v>50</v>
      </c>
      <c r="D407" s="421"/>
      <c r="E407" s="59" t="s">
        <v>291</v>
      </c>
      <c r="F407" s="168"/>
      <c r="G407" s="50">
        <f t="shared" si="50"/>
        <v>0</v>
      </c>
      <c r="H407" s="168">
        <f>H408+H409</f>
        <v>0</v>
      </c>
      <c r="I407" s="168">
        <f>I408+I409</f>
        <v>0</v>
      </c>
      <c r="J407" s="168">
        <f>J408+J409</f>
        <v>0</v>
      </c>
      <c r="K407" s="168">
        <f>K408+K409</f>
        <v>0</v>
      </c>
      <c r="L407" s="21"/>
    </row>
    <row r="408" spans="1:12" ht="12.75">
      <c r="A408" s="367">
        <f t="shared" si="47"/>
        <v>389</v>
      </c>
      <c r="B408" s="368"/>
      <c r="C408" s="368"/>
      <c r="D408" s="379" t="s">
        <v>47</v>
      </c>
      <c r="E408" s="66" t="s">
        <v>259</v>
      </c>
      <c r="F408" s="375"/>
      <c r="G408" s="79">
        <f t="shared" si="50"/>
        <v>0</v>
      </c>
      <c r="H408" s="375"/>
      <c r="I408" s="375"/>
      <c r="J408" s="375"/>
      <c r="K408" s="412"/>
      <c r="L408" s="21"/>
    </row>
    <row r="409" spans="1:12" ht="12.75">
      <c r="A409" s="367">
        <f t="shared" si="47"/>
        <v>390</v>
      </c>
      <c r="B409" s="368"/>
      <c r="C409" s="368"/>
      <c r="D409" s="379">
        <v>50</v>
      </c>
      <c r="E409" s="66" t="s">
        <v>292</v>
      </c>
      <c r="F409" s="375"/>
      <c r="G409" s="79">
        <f t="shared" si="50"/>
        <v>0</v>
      </c>
      <c r="H409" s="375"/>
      <c r="I409" s="375"/>
      <c r="J409" s="375"/>
      <c r="K409" s="412"/>
      <c r="L409" s="21"/>
    </row>
    <row r="410" spans="1:12" ht="12.75">
      <c r="A410" s="367">
        <f>A409+1</f>
        <v>391</v>
      </c>
      <c r="B410" s="368"/>
      <c r="C410" s="368"/>
      <c r="D410" s="369"/>
      <c r="E410" s="407" t="s">
        <v>293</v>
      </c>
      <c r="F410" s="49">
        <f>+F412+F500</f>
        <v>0</v>
      </c>
      <c r="G410" s="50">
        <f t="shared" si="50"/>
        <v>2330.3599999999997</v>
      </c>
      <c r="H410" s="49">
        <f>+H412+H500</f>
        <v>587</v>
      </c>
      <c r="I410" s="49">
        <f>+I412+I500</f>
        <v>1666.6999999999998</v>
      </c>
      <c r="J410" s="49">
        <f>+J412+J500</f>
        <v>76.66</v>
      </c>
      <c r="K410" s="124">
        <f>+K412+K500</f>
        <v>0</v>
      </c>
      <c r="L410" s="21"/>
    </row>
    <row r="411" spans="1:12" ht="12.75">
      <c r="A411" s="367"/>
      <c r="B411" s="368" t="s">
        <v>59</v>
      </c>
      <c r="C411" s="368" t="s">
        <v>60</v>
      </c>
      <c r="D411" s="86" t="s">
        <v>61</v>
      </c>
      <c r="E411" s="66"/>
      <c r="F411" s="79"/>
      <c r="G411" s="79"/>
      <c r="H411" s="79"/>
      <c r="I411" s="79"/>
      <c r="J411" s="79"/>
      <c r="K411" s="393"/>
      <c r="L411" s="21"/>
    </row>
    <row r="412" spans="1:12" ht="12.75">
      <c r="A412" s="367">
        <f>A410+1</f>
        <v>392</v>
      </c>
      <c r="B412" s="368"/>
      <c r="C412" s="368"/>
      <c r="D412" s="369"/>
      <c r="E412" s="85" t="s">
        <v>136</v>
      </c>
      <c r="F412" s="49">
        <f>+F413+F447+F489+F492+F493</f>
        <v>0</v>
      </c>
      <c r="G412" s="50">
        <f aca="true" t="shared" si="51" ref="G412:G475">H412+I412+J412+K412</f>
        <v>646.66</v>
      </c>
      <c r="H412" s="166">
        <f>+H413+H447+H489</f>
        <v>205</v>
      </c>
      <c r="I412" s="166">
        <f>+I413+I447</f>
        <v>365</v>
      </c>
      <c r="J412" s="166">
        <f>+J413+J447</f>
        <v>76.66</v>
      </c>
      <c r="K412" s="166">
        <f>+K413+K447</f>
        <v>0</v>
      </c>
      <c r="L412" s="21"/>
    </row>
    <row r="413" spans="1:12" ht="12.75">
      <c r="A413" s="367">
        <f aca="true" t="shared" si="52" ref="A413:A476">A412+1</f>
        <v>393</v>
      </c>
      <c r="B413" s="368"/>
      <c r="C413" s="368">
        <v>10</v>
      </c>
      <c r="D413" s="369"/>
      <c r="E413" s="85" t="s">
        <v>263</v>
      </c>
      <c r="F413" s="49">
        <f>+F414+F432+F439</f>
        <v>0</v>
      </c>
      <c r="G413" s="50">
        <f t="shared" si="51"/>
        <v>0</v>
      </c>
      <c r="H413" s="166">
        <f>+H414+H432+H439</f>
        <v>0</v>
      </c>
      <c r="I413" s="166">
        <f>+I414+I432+I439</f>
        <v>0</v>
      </c>
      <c r="J413" s="166">
        <f>+J414+J432+J439</f>
        <v>0</v>
      </c>
      <c r="K413" s="166">
        <f>+K414+K432+K439</f>
        <v>0</v>
      </c>
      <c r="L413" s="21"/>
    </row>
    <row r="414" spans="1:12" ht="12.75">
      <c r="A414" s="367">
        <f t="shared" si="52"/>
        <v>394</v>
      </c>
      <c r="B414" s="368"/>
      <c r="C414" s="377" t="s">
        <v>47</v>
      </c>
      <c r="D414" s="369"/>
      <c r="E414" s="85" t="s">
        <v>142</v>
      </c>
      <c r="F414" s="49">
        <f>+F415+F416+F417+F418+F419+F420+F421+F422+F423+F424+F425+F426+F427+F428+F429+F430+F431</f>
        <v>0</v>
      </c>
      <c r="G414" s="50">
        <f t="shared" si="51"/>
        <v>0</v>
      </c>
      <c r="H414" s="166">
        <f>+H415+H416+H417+H418+H419+H420+H421+H422+H423+H424+H425+H426+H427+H428+H429+H430+H431</f>
        <v>0</v>
      </c>
      <c r="I414" s="166">
        <f>+I415+I416+I417+I418+I419+I420+I421+I422+I423+I424+I425+I426+I427+I428+I429+I430+I431</f>
        <v>0</v>
      </c>
      <c r="J414" s="166">
        <f>+J415+J416+J417+J418+J419+J420+J421+J422+J423+J424+J425+J426+J427+J428+J429+J430+J431</f>
        <v>0</v>
      </c>
      <c r="K414" s="166">
        <f>+K415+K416+K417+K418+K419+K420+K421+K422+K423+K424+K425+K426+K427+K428+K429+K430+K431</f>
        <v>0</v>
      </c>
      <c r="L414" s="21"/>
    </row>
    <row r="415" spans="1:12" ht="12.75">
      <c r="A415" s="367">
        <f t="shared" si="52"/>
        <v>395</v>
      </c>
      <c r="B415" s="368"/>
      <c r="C415" s="368"/>
      <c r="D415" s="379" t="s">
        <v>47</v>
      </c>
      <c r="E415" s="66" t="s">
        <v>144</v>
      </c>
      <c r="F415" s="375"/>
      <c r="G415" s="79">
        <f t="shared" si="51"/>
        <v>0</v>
      </c>
      <c r="H415" s="77"/>
      <c r="I415" s="77"/>
      <c r="J415" s="77"/>
      <c r="K415" s="77"/>
      <c r="L415" s="21"/>
    </row>
    <row r="416" spans="1:12" ht="12.75">
      <c r="A416" s="367">
        <f t="shared" si="52"/>
        <v>396</v>
      </c>
      <c r="B416" s="368"/>
      <c r="C416" s="368"/>
      <c r="D416" s="379" t="s">
        <v>80</v>
      </c>
      <c r="E416" s="66" t="s">
        <v>146</v>
      </c>
      <c r="F416" s="375"/>
      <c r="G416" s="79">
        <f t="shared" si="51"/>
        <v>0</v>
      </c>
      <c r="H416" s="77"/>
      <c r="I416" s="77"/>
      <c r="J416" s="77"/>
      <c r="K416" s="77"/>
      <c r="L416" s="21"/>
    </row>
    <row r="417" spans="1:12" ht="12.75">
      <c r="A417" s="367">
        <f t="shared" si="52"/>
        <v>397</v>
      </c>
      <c r="B417" s="368"/>
      <c r="C417" s="368"/>
      <c r="D417" s="379" t="s">
        <v>84</v>
      </c>
      <c r="E417" s="66" t="s">
        <v>148</v>
      </c>
      <c r="F417" s="375"/>
      <c r="G417" s="79">
        <f t="shared" si="51"/>
        <v>0</v>
      </c>
      <c r="H417" s="77"/>
      <c r="I417" s="77"/>
      <c r="J417" s="77"/>
      <c r="K417" s="77"/>
      <c r="L417" s="21"/>
    </row>
    <row r="418" spans="1:12" ht="12.75">
      <c r="A418" s="367">
        <f t="shared" si="52"/>
        <v>398</v>
      </c>
      <c r="B418" s="368"/>
      <c r="C418" s="368"/>
      <c r="D418" s="379" t="s">
        <v>108</v>
      </c>
      <c r="E418" s="66" t="s">
        <v>150</v>
      </c>
      <c r="F418" s="375"/>
      <c r="G418" s="79">
        <f t="shared" si="51"/>
        <v>0</v>
      </c>
      <c r="H418" s="77"/>
      <c r="I418" s="77"/>
      <c r="J418" s="77"/>
      <c r="K418" s="77"/>
      <c r="L418" s="21"/>
    </row>
    <row r="419" spans="1:12" ht="12.75">
      <c r="A419" s="367">
        <f t="shared" si="52"/>
        <v>399</v>
      </c>
      <c r="B419" s="368"/>
      <c r="C419" s="368"/>
      <c r="D419" s="379" t="s">
        <v>41</v>
      </c>
      <c r="E419" s="66" t="s">
        <v>152</v>
      </c>
      <c r="F419" s="375"/>
      <c r="G419" s="79">
        <f t="shared" si="51"/>
        <v>0</v>
      </c>
      <c r="H419" s="77"/>
      <c r="I419" s="77"/>
      <c r="J419" s="77"/>
      <c r="K419" s="77"/>
      <c r="L419" s="21"/>
    </row>
    <row r="420" spans="1:12" ht="12.75">
      <c r="A420" s="367">
        <f t="shared" si="52"/>
        <v>400</v>
      </c>
      <c r="B420" s="368"/>
      <c r="C420" s="368"/>
      <c r="D420" s="379" t="s">
        <v>154</v>
      </c>
      <c r="E420" s="66" t="s">
        <v>155</v>
      </c>
      <c r="F420" s="375"/>
      <c r="G420" s="79">
        <f t="shared" si="51"/>
        <v>0</v>
      </c>
      <c r="H420" s="77"/>
      <c r="I420" s="77"/>
      <c r="J420" s="77"/>
      <c r="K420" s="77"/>
      <c r="L420" s="21"/>
    </row>
    <row r="421" spans="1:12" ht="12.75">
      <c r="A421" s="367">
        <f t="shared" si="52"/>
        <v>401</v>
      </c>
      <c r="B421" s="368"/>
      <c r="C421" s="368"/>
      <c r="D421" s="379" t="s">
        <v>157</v>
      </c>
      <c r="E421" s="66" t="s">
        <v>158</v>
      </c>
      <c r="F421" s="375"/>
      <c r="G421" s="79">
        <f t="shared" si="51"/>
        <v>0</v>
      </c>
      <c r="H421" s="77"/>
      <c r="I421" s="77"/>
      <c r="J421" s="77"/>
      <c r="K421" s="77"/>
      <c r="L421" s="21"/>
    </row>
    <row r="422" spans="1:12" ht="12.75">
      <c r="A422" s="367">
        <f t="shared" si="52"/>
        <v>402</v>
      </c>
      <c r="B422" s="368"/>
      <c r="C422" s="368"/>
      <c r="D422" s="379" t="s">
        <v>65</v>
      </c>
      <c r="E422" s="66" t="s">
        <v>159</v>
      </c>
      <c r="F422" s="375"/>
      <c r="G422" s="79">
        <f t="shared" si="51"/>
        <v>0</v>
      </c>
      <c r="H422" s="77"/>
      <c r="I422" s="77"/>
      <c r="J422" s="77"/>
      <c r="K422" s="77"/>
      <c r="L422" s="21"/>
    </row>
    <row r="423" spans="1:12" ht="12.75">
      <c r="A423" s="367">
        <f t="shared" si="52"/>
        <v>403</v>
      </c>
      <c r="B423" s="368"/>
      <c r="C423" s="368"/>
      <c r="D423" s="379" t="s">
        <v>160</v>
      </c>
      <c r="E423" s="66" t="s">
        <v>264</v>
      </c>
      <c r="F423" s="375"/>
      <c r="G423" s="79">
        <f t="shared" si="51"/>
        <v>0</v>
      </c>
      <c r="H423" s="77"/>
      <c r="I423" s="77"/>
      <c r="J423" s="77"/>
      <c r="K423" s="77"/>
      <c r="L423" s="21"/>
    </row>
    <row r="424" spans="1:12" ht="12.75">
      <c r="A424" s="367">
        <f t="shared" si="52"/>
        <v>404</v>
      </c>
      <c r="B424" s="368"/>
      <c r="C424" s="368"/>
      <c r="D424" s="369">
        <v>10</v>
      </c>
      <c r="E424" s="66" t="s">
        <v>162</v>
      </c>
      <c r="F424" s="375"/>
      <c r="G424" s="79">
        <f t="shared" si="51"/>
        <v>0</v>
      </c>
      <c r="H424" s="77"/>
      <c r="I424" s="77"/>
      <c r="J424" s="77"/>
      <c r="K424" s="77"/>
      <c r="L424" s="21"/>
    </row>
    <row r="425" spans="1:12" ht="12.75">
      <c r="A425" s="367">
        <f t="shared" si="52"/>
        <v>405</v>
      </c>
      <c r="B425" s="368"/>
      <c r="C425" s="368"/>
      <c r="D425" s="369">
        <v>11</v>
      </c>
      <c r="E425" s="66" t="s">
        <v>163</v>
      </c>
      <c r="F425" s="375"/>
      <c r="G425" s="79">
        <f t="shared" si="51"/>
        <v>0</v>
      </c>
      <c r="H425" s="77"/>
      <c r="I425" s="77"/>
      <c r="J425" s="77"/>
      <c r="K425" s="77"/>
      <c r="L425" s="21"/>
    </row>
    <row r="426" spans="1:12" ht="12.75">
      <c r="A426" s="367">
        <f t="shared" si="52"/>
        <v>406</v>
      </c>
      <c r="B426" s="368"/>
      <c r="C426" s="368"/>
      <c r="D426" s="369">
        <v>12</v>
      </c>
      <c r="E426" s="66" t="s">
        <v>164</v>
      </c>
      <c r="F426" s="375"/>
      <c r="G426" s="79">
        <f t="shared" si="51"/>
        <v>0</v>
      </c>
      <c r="H426" s="77"/>
      <c r="I426" s="77"/>
      <c r="J426" s="77"/>
      <c r="K426" s="77"/>
      <c r="L426" s="21"/>
    </row>
    <row r="427" spans="1:12" ht="12.75">
      <c r="A427" s="367">
        <f t="shared" si="52"/>
        <v>407</v>
      </c>
      <c r="B427" s="368"/>
      <c r="C427" s="368"/>
      <c r="D427" s="369">
        <v>13</v>
      </c>
      <c r="E427" s="66" t="s">
        <v>165</v>
      </c>
      <c r="F427" s="375"/>
      <c r="G427" s="79">
        <f t="shared" si="51"/>
        <v>0</v>
      </c>
      <c r="H427" s="77"/>
      <c r="I427" s="77"/>
      <c r="J427" s="77"/>
      <c r="K427" s="77"/>
      <c r="L427" s="21"/>
    </row>
    <row r="428" spans="1:12" ht="12.75">
      <c r="A428" s="367">
        <f t="shared" si="52"/>
        <v>408</v>
      </c>
      <c r="B428" s="368"/>
      <c r="C428" s="368"/>
      <c r="D428" s="369">
        <v>14</v>
      </c>
      <c r="E428" s="66" t="s">
        <v>166</v>
      </c>
      <c r="F428" s="375"/>
      <c r="G428" s="79">
        <f t="shared" si="51"/>
        <v>0</v>
      </c>
      <c r="H428" s="77"/>
      <c r="I428" s="77"/>
      <c r="J428" s="77"/>
      <c r="K428" s="77"/>
      <c r="L428" s="21"/>
    </row>
    <row r="429" spans="1:12" ht="12.75">
      <c r="A429" s="367">
        <f t="shared" si="52"/>
        <v>409</v>
      </c>
      <c r="B429" s="368"/>
      <c r="C429" s="368"/>
      <c r="D429" s="369">
        <v>15</v>
      </c>
      <c r="E429" s="66" t="s">
        <v>167</v>
      </c>
      <c r="F429" s="375"/>
      <c r="G429" s="79">
        <f t="shared" si="51"/>
        <v>0</v>
      </c>
      <c r="H429" s="77"/>
      <c r="I429" s="77"/>
      <c r="J429" s="77"/>
      <c r="K429" s="77"/>
      <c r="L429" s="21"/>
    </row>
    <row r="430" spans="1:12" ht="12.75">
      <c r="A430" s="367">
        <f t="shared" si="52"/>
        <v>410</v>
      </c>
      <c r="B430" s="368"/>
      <c r="C430" s="368"/>
      <c r="D430" s="369">
        <v>16</v>
      </c>
      <c r="E430" s="66" t="s">
        <v>168</v>
      </c>
      <c r="F430" s="375"/>
      <c r="G430" s="79">
        <f t="shared" si="51"/>
        <v>0</v>
      </c>
      <c r="H430" s="77"/>
      <c r="I430" s="77"/>
      <c r="J430" s="77"/>
      <c r="K430" s="77"/>
      <c r="L430" s="21"/>
    </row>
    <row r="431" spans="1:12" ht="12.75">
      <c r="A431" s="367">
        <f t="shared" si="52"/>
        <v>411</v>
      </c>
      <c r="B431" s="368"/>
      <c r="C431" s="368"/>
      <c r="D431" s="369">
        <v>30</v>
      </c>
      <c r="E431" s="66" t="s">
        <v>169</v>
      </c>
      <c r="F431" s="375"/>
      <c r="G431" s="79">
        <f t="shared" si="51"/>
        <v>0</v>
      </c>
      <c r="H431" s="77"/>
      <c r="I431" s="77"/>
      <c r="J431" s="77"/>
      <c r="K431" s="77"/>
      <c r="L431" s="21"/>
    </row>
    <row r="432" spans="1:12" ht="12.75">
      <c r="A432" s="367">
        <f t="shared" si="52"/>
        <v>412</v>
      </c>
      <c r="B432" s="368"/>
      <c r="C432" s="377" t="s">
        <v>80</v>
      </c>
      <c r="D432" s="369"/>
      <c r="E432" s="85" t="s">
        <v>170</v>
      </c>
      <c r="F432" s="49">
        <f>+F433+F434+F435+F436+F437+F438</f>
        <v>0</v>
      </c>
      <c r="G432" s="50">
        <f t="shared" si="51"/>
        <v>0</v>
      </c>
      <c r="H432" s="166">
        <f>+H433+H434+H435+H436+H437+H438</f>
        <v>0</v>
      </c>
      <c r="I432" s="166">
        <f>+I433+I434+I435+I436+I437+I438</f>
        <v>0</v>
      </c>
      <c r="J432" s="166">
        <f>+J433+J434+J435+J436+J437+J438</f>
        <v>0</v>
      </c>
      <c r="K432" s="166">
        <f>+K433+K434+K435+K436+K437+K438</f>
        <v>0</v>
      </c>
      <c r="L432" s="21"/>
    </row>
    <row r="433" spans="1:12" ht="12.75">
      <c r="A433" s="367">
        <f t="shared" si="52"/>
        <v>413</v>
      </c>
      <c r="B433" s="368"/>
      <c r="C433" s="368"/>
      <c r="D433" s="379" t="s">
        <v>47</v>
      </c>
      <c r="E433" s="66" t="s">
        <v>265</v>
      </c>
      <c r="F433" s="375"/>
      <c r="G433" s="79">
        <f t="shared" si="51"/>
        <v>0</v>
      </c>
      <c r="H433" s="77"/>
      <c r="I433" s="77"/>
      <c r="J433" s="77"/>
      <c r="K433" s="77"/>
      <c r="L433" s="21"/>
    </row>
    <row r="434" spans="1:12" ht="12.75">
      <c r="A434" s="367">
        <f t="shared" si="52"/>
        <v>414</v>
      </c>
      <c r="B434" s="368"/>
      <c r="C434" s="368"/>
      <c r="D434" s="379" t="s">
        <v>80</v>
      </c>
      <c r="E434" s="66" t="s">
        <v>266</v>
      </c>
      <c r="F434" s="375"/>
      <c r="G434" s="79">
        <f t="shared" si="51"/>
        <v>0</v>
      </c>
      <c r="H434" s="77"/>
      <c r="I434" s="77"/>
      <c r="J434" s="77"/>
      <c r="K434" s="77"/>
      <c r="L434" s="21"/>
    </row>
    <row r="435" spans="1:12" ht="12.75">
      <c r="A435" s="367">
        <f t="shared" si="52"/>
        <v>415</v>
      </c>
      <c r="B435" s="368"/>
      <c r="C435" s="368"/>
      <c r="D435" s="379" t="s">
        <v>84</v>
      </c>
      <c r="E435" s="66" t="s">
        <v>173</v>
      </c>
      <c r="F435" s="375"/>
      <c r="G435" s="79">
        <f t="shared" si="51"/>
        <v>0</v>
      </c>
      <c r="H435" s="77"/>
      <c r="I435" s="77"/>
      <c r="J435" s="77"/>
      <c r="K435" s="77"/>
      <c r="L435" s="21"/>
    </row>
    <row r="436" spans="1:12" ht="12.75">
      <c r="A436" s="367">
        <f t="shared" si="52"/>
        <v>416</v>
      </c>
      <c r="B436" s="368"/>
      <c r="C436" s="368"/>
      <c r="D436" s="379" t="s">
        <v>108</v>
      </c>
      <c r="E436" s="66" t="s">
        <v>267</v>
      </c>
      <c r="F436" s="375"/>
      <c r="G436" s="79">
        <f t="shared" si="51"/>
        <v>0</v>
      </c>
      <c r="H436" s="77"/>
      <c r="I436" s="77"/>
      <c r="J436" s="77"/>
      <c r="K436" s="77"/>
      <c r="L436" s="21"/>
    </row>
    <row r="437" spans="1:12" ht="12.75">
      <c r="A437" s="367">
        <f t="shared" si="52"/>
        <v>417</v>
      </c>
      <c r="B437" s="368"/>
      <c r="C437" s="368"/>
      <c r="D437" s="379" t="s">
        <v>41</v>
      </c>
      <c r="E437" s="66" t="s">
        <v>268</v>
      </c>
      <c r="F437" s="375"/>
      <c r="G437" s="79">
        <f t="shared" si="51"/>
        <v>0</v>
      </c>
      <c r="H437" s="77"/>
      <c r="I437" s="77"/>
      <c r="J437" s="77"/>
      <c r="K437" s="77"/>
      <c r="L437" s="21"/>
    </row>
    <row r="438" spans="1:12" ht="12.75">
      <c r="A438" s="367">
        <f t="shared" si="52"/>
        <v>418</v>
      </c>
      <c r="B438" s="368"/>
      <c r="C438" s="368"/>
      <c r="D438" s="369">
        <v>30</v>
      </c>
      <c r="E438" s="66" t="s">
        <v>176</v>
      </c>
      <c r="F438" s="375"/>
      <c r="G438" s="79">
        <f t="shared" si="51"/>
        <v>0</v>
      </c>
      <c r="H438" s="77"/>
      <c r="I438" s="77"/>
      <c r="J438" s="77"/>
      <c r="K438" s="77"/>
      <c r="L438" s="21"/>
    </row>
    <row r="439" spans="1:12" ht="12.75">
      <c r="A439" s="367">
        <f t="shared" si="52"/>
        <v>419</v>
      </c>
      <c r="B439" s="368"/>
      <c r="C439" s="377" t="s">
        <v>84</v>
      </c>
      <c r="D439" s="369"/>
      <c r="E439" s="85" t="s">
        <v>177</v>
      </c>
      <c r="F439" s="49">
        <f>+F440+F441+F442+F443+F444+F445+F446</f>
        <v>0</v>
      </c>
      <c r="G439" s="50">
        <f t="shared" si="51"/>
        <v>0</v>
      </c>
      <c r="H439" s="166">
        <f>+H440+H441+H442+H443+H444+H445+H446</f>
        <v>0</v>
      </c>
      <c r="I439" s="166">
        <f>+I440+I441+I442+I443+I444+I445+I446</f>
        <v>0</v>
      </c>
      <c r="J439" s="166">
        <f>+J440+J441+J442+J443+J444+J445+J446</f>
        <v>0</v>
      </c>
      <c r="K439" s="166">
        <f>+K440+K441+K442+K443+K444+K445+K446</f>
        <v>0</v>
      </c>
      <c r="L439" s="21"/>
    </row>
    <row r="440" spans="1:12" ht="12.75">
      <c r="A440" s="367">
        <f t="shared" si="52"/>
        <v>420</v>
      </c>
      <c r="B440" s="368"/>
      <c r="C440" s="368"/>
      <c r="D440" s="379" t="s">
        <v>47</v>
      </c>
      <c r="E440" s="66" t="s">
        <v>178</v>
      </c>
      <c r="F440" s="375"/>
      <c r="G440" s="79">
        <f t="shared" si="51"/>
        <v>0</v>
      </c>
      <c r="H440" s="77"/>
      <c r="I440" s="77"/>
      <c r="J440" s="77"/>
      <c r="K440" s="77"/>
      <c r="L440" s="21"/>
    </row>
    <row r="441" spans="1:12" ht="12.75">
      <c r="A441" s="367">
        <f t="shared" si="52"/>
        <v>421</v>
      </c>
      <c r="B441" s="368"/>
      <c r="C441" s="368"/>
      <c r="D441" s="379" t="s">
        <v>80</v>
      </c>
      <c r="E441" s="66" t="s">
        <v>179</v>
      </c>
      <c r="F441" s="375"/>
      <c r="G441" s="79">
        <f t="shared" si="51"/>
        <v>0</v>
      </c>
      <c r="H441" s="77"/>
      <c r="I441" s="77"/>
      <c r="J441" s="77"/>
      <c r="K441" s="77"/>
      <c r="L441" s="21"/>
    </row>
    <row r="442" spans="1:12" ht="12.75">
      <c r="A442" s="367">
        <f t="shared" si="52"/>
        <v>422</v>
      </c>
      <c r="B442" s="368"/>
      <c r="C442" s="368"/>
      <c r="D442" s="379" t="s">
        <v>84</v>
      </c>
      <c r="E442" s="66" t="s">
        <v>180</v>
      </c>
      <c r="F442" s="375"/>
      <c r="G442" s="79">
        <f t="shared" si="51"/>
        <v>0</v>
      </c>
      <c r="H442" s="77"/>
      <c r="I442" s="77"/>
      <c r="J442" s="77"/>
      <c r="K442" s="77"/>
      <c r="L442" s="21"/>
    </row>
    <row r="443" spans="1:12" ht="12.75">
      <c r="A443" s="367">
        <f t="shared" si="52"/>
        <v>423</v>
      </c>
      <c r="B443" s="368"/>
      <c r="C443" s="368"/>
      <c r="D443" s="379" t="s">
        <v>108</v>
      </c>
      <c r="E443" s="66" t="s">
        <v>269</v>
      </c>
      <c r="F443" s="375"/>
      <c r="G443" s="79">
        <f t="shared" si="51"/>
        <v>0</v>
      </c>
      <c r="H443" s="77"/>
      <c r="I443" s="77"/>
      <c r="J443" s="77"/>
      <c r="K443" s="77"/>
      <c r="L443" s="21"/>
    </row>
    <row r="444" spans="1:12" ht="12.75">
      <c r="A444" s="367">
        <f t="shared" si="52"/>
        <v>424</v>
      </c>
      <c r="B444" s="368"/>
      <c r="C444" s="368"/>
      <c r="D444" s="379" t="s">
        <v>41</v>
      </c>
      <c r="E444" s="66" t="s">
        <v>182</v>
      </c>
      <c r="F444" s="375"/>
      <c r="G444" s="79">
        <f t="shared" si="51"/>
        <v>0</v>
      </c>
      <c r="H444" s="77"/>
      <c r="I444" s="77"/>
      <c r="J444" s="77"/>
      <c r="K444" s="77"/>
      <c r="L444" s="21"/>
    </row>
    <row r="445" spans="1:12" ht="12.75">
      <c r="A445" s="367">
        <f t="shared" si="52"/>
        <v>425</v>
      </c>
      <c r="B445" s="368"/>
      <c r="C445" s="368"/>
      <c r="D445" s="379" t="s">
        <v>154</v>
      </c>
      <c r="E445" s="66" t="s">
        <v>183</v>
      </c>
      <c r="F445" s="375"/>
      <c r="G445" s="79">
        <f t="shared" si="51"/>
        <v>0</v>
      </c>
      <c r="H445" s="77"/>
      <c r="I445" s="77"/>
      <c r="J445" s="77"/>
      <c r="K445" s="77"/>
      <c r="L445" s="21"/>
    </row>
    <row r="446" spans="1:12" ht="12.75">
      <c r="A446" s="367">
        <f t="shared" si="52"/>
        <v>426</v>
      </c>
      <c r="B446" s="368"/>
      <c r="C446" s="368"/>
      <c r="D446" s="379" t="s">
        <v>157</v>
      </c>
      <c r="E446" s="66" t="s">
        <v>184</v>
      </c>
      <c r="F446" s="375"/>
      <c r="G446" s="79">
        <f t="shared" si="51"/>
        <v>0</v>
      </c>
      <c r="H446" s="77"/>
      <c r="I446" s="77"/>
      <c r="J446" s="77"/>
      <c r="K446" s="77"/>
      <c r="L446" s="21"/>
    </row>
    <row r="447" spans="1:12" ht="12.75">
      <c r="A447" s="367">
        <f t="shared" si="52"/>
        <v>427</v>
      </c>
      <c r="B447" s="368"/>
      <c r="C447" s="368">
        <v>20</v>
      </c>
      <c r="D447" s="369"/>
      <c r="E447" s="85" t="s">
        <v>294</v>
      </c>
      <c r="F447" s="49">
        <f>+F448+F459+F460+F463+F468+F472+F475+F476+F477+F478+F479+F480+F481+F483</f>
        <v>0</v>
      </c>
      <c r="G447" s="50">
        <f t="shared" si="51"/>
        <v>646.66</v>
      </c>
      <c r="H447" s="166">
        <f>+H448+H459+H460+H463+H468+H472+H475+H476+H477+H478+H479+H480+H481+H483</f>
        <v>205</v>
      </c>
      <c r="I447" s="166">
        <f>+I448+I459+I460+I463+I468+I472+I475+I476+I477+I478+I479+I480+I481+I483</f>
        <v>365</v>
      </c>
      <c r="J447" s="166">
        <f>+J448+J459+J460+J463+J468+J472+J475+J476+J477+J478+J479+J480+J481+J483</f>
        <v>76.66</v>
      </c>
      <c r="K447" s="166">
        <f>+K448+K459+K460+K463+K468+K472+K475+K476+K477+K478+K479+K480+K481+K483</f>
        <v>0</v>
      </c>
      <c r="L447" s="21"/>
    </row>
    <row r="448" spans="1:12" ht="12.75">
      <c r="A448" s="367">
        <f t="shared" si="52"/>
        <v>428</v>
      </c>
      <c r="B448" s="368"/>
      <c r="C448" s="377" t="s">
        <v>47</v>
      </c>
      <c r="D448" s="369"/>
      <c r="E448" s="85" t="s">
        <v>130</v>
      </c>
      <c r="F448" s="49">
        <f>+F449+F450+F451+F452+F453+F454+F455+F456+F457+F458</f>
        <v>0</v>
      </c>
      <c r="G448" s="50">
        <f t="shared" si="51"/>
        <v>0.11</v>
      </c>
      <c r="H448" s="166">
        <f>+H449+H450+H451+H452+H453+H454+H455+H456+H457+H458</f>
        <v>0</v>
      </c>
      <c r="I448" s="166">
        <f>+I449+I450+I451+I452+I453+I454+I455+I456+I457+I458</f>
        <v>0.11</v>
      </c>
      <c r="J448" s="166">
        <f>+J449+J450+J451+J452+J453+J454+J455+J456+J457+J458</f>
        <v>0</v>
      </c>
      <c r="K448" s="166">
        <f>+K449+K450+K451+K452+K453+K454+K455+K456+K457+K458</f>
        <v>0</v>
      </c>
      <c r="L448" s="21"/>
    </row>
    <row r="449" spans="1:12" ht="12.75">
      <c r="A449" s="367">
        <f t="shared" si="52"/>
        <v>429</v>
      </c>
      <c r="B449" s="368"/>
      <c r="C449" s="368"/>
      <c r="D449" s="379" t="s">
        <v>47</v>
      </c>
      <c r="E449" s="66" t="s">
        <v>186</v>
      </c>
      <c r="F449" s="375"/>
      <c r="G449" s="79">
        <f t="shared" si="51"/>
        <v>0</v>
      </c>
      <c r="H449" s="77"/>
      <c r="I449" s="77"/>
      <c r="J449" s="77"/>
      <c r="K449" s="77"/>
      <c r="L449" s="21"/>
    </row>
    <row r="450" spans="1:12" ht="12.75">
      <c r="A450" s="367">
        <f t="shared" si="52"/>
        <v>430</v>
      </c>
      <c r="B450" s="368"/>
      <c r="C450" s="368"/>
      <c r="D450" s="379" t="s">
        <v>80</v>
      </c>
      <c r="E450" s="66" t="s">
        <v>187</v>
      </c>
      <c r="F450" s="375"/>
      <c r="G450" s="79">
        <f t="shared" si="51"/>
        <v>0</v>
      </c>
      <c r="H450" s="77"/>
      <c r="I450" s="77"/>
      <c r="J450" s="77"/>
      <c r="K450" s="77"/>
      <c r="L450" s="21">
        <v>0</v>
      </c>
    </row>
    <row r="451" spans="1:12" ht="12.75">
      <c r="A451" s="367">
        <f t="shared" si="52"/>
        <v>431</v>
      </c>
      <c r="B451" s="368"/>
      <c r="C451" s="368"/>
      <c r="D451" s="379" t="s">
        <v>84</v>
      </c>
      <c r="E451" s="66" t="s">
        <v>188</v>
      </c>
      <c r="F451" s="375"/>
      <c r="G451" s="79">
        <f t="shared" si="51"/>
        <v>0.11</v>
      </c>
      <c r="H451" s="77"/>
      <c r="I451" s="77">
        <v>0.11</v>
      </c>
      <c r="J451" s="77"/>
      <c r="K451" s="77"/>
      <c r="L451" s="21">
        <v>0.11</v>
      </c>
    </row>
    <row r="452" spans="1:12" ht="12.75">
      <c r="A452" s="367">
        <f t="shared" si="52"/>
        <v>432</v>
      </c>
      <c r="B452" s="368"/>
      <c r="C452" s="368"/>
      <c r="D452" s="379" t="s">
        <v>108</v>
      </c>
      <c r="E452" s="66" t="s">
        <v>189</v>
      </c>
      <c r="F452" s="375"/>
      <c r="G452" s="79">
        <f t="shared" si="51"/>
        <v>0</v>
      </c>
      <c r="H452" s="77"/>
      <c r="I452" s="77"/>
      <c r="J452" s="77"/>
      <c r="K452" s="77"/>
      <c r="L452" s="21">
        <v>0</v>
      </c>
    </row>
    <row r="453" spans="1:12" ht="12.75">
      <c r="A453" s="367">
        <f t="shared" si="52"/>
        <v>433</v>
      </c>
      <c r="B453" s="368"/>
      <c r="C453" s="368"/>
      <c r="D453" s="379" t="s">
        <v>41</v>
      </c>
      <c r="E453" s="66" t="s">
        <v>190</v>
      </c>
      <c r="F453" s="375"/>
      <c r="G453" s="79">
        <f t="shared" si="51"/>
        <v>0</v>
      </c>
      <c r="H453" s="77"/>
      <c r="I453" s="77"/>
      <c r="J453" s="77"/>
      <c r="K453" s="77"/>
      <c r="L453" s="21">
        <v>0</v>
      </c>
    </row>
    <row r="454" spans="1:14" ht="12.75">
      <c r="A454" s="367">
        <f t="shared" si="52"/>
        <v>434</v>
      </c>
      <c r="B454" s="368"/>
      <c r="C454" s="368"/>
      <c r="D454" s="379" t="s">
        <v>154</v>
      </c>
      <c r="E454" s="66" t="s">
        <v>191</v>
      </c>
      <c r="F454" s="375"/>
      <c r="G454" s="79">
        <f t="shared" si="51"/>
        <v>0</v>
      </c>
      <c r="H454" s="77"/>
      <c r="I454" s="77"/>
      <c r="J454" s="77"/>
      <c r="K454" s="77"/>
      <c r="L454" s="21">
        <v>0</v>
      </c>
      <c r="N454" s="167"/>
    </row>
    <row r="455" spans="1:12" ht="12.75">
      <c r="A455" s="367">
        <f t="shared" si="52"/>
        <v>435</v>
      </c>
      <c r="B455" s="368"/>
      <c r="C455" s="368"/>
      <c r="D455" s="379" t="s">
        <v>157</v>
      </c>
      <c r="E455" s="66" t="s">
        <v>192</v>
      </c>
      <c r="F455" s="375"/>
      <c r="G455" s="79">
        <f t="shared" si="51"/>
        <v>0</v>
      </c>
      <c r="H455" s="77"/>
      <c r="I455" s="77"/>
      <c r="J455" s="77"/>
      <c r="K455" s="77"/>
      <c r="L455" s="21">
        <v>0</v>
      </c>
    </row>
    <row r="456" spans="1:12" ht="12.75">
      <c r="A456" s="367">
        <f t="shared" si="52"/>
        <v>436</v>
      </c>
      <c r="B456" s="368"/>
      <c r="C456" s="368"/>
      <c r="D456" s="379" t="s">
        <v>65</v>
      </c>
      <c r="E456" s="66" t="s">
        <v>193</v>
      </c>
      <c r="F456" s="375"/>
      <c r="G456" s="79">
        <f t="shared" si="51"/>
        <v>0</v>
      </c>
      <c r="H456" s="77"/>
      <c r="I456" s="77"/>
      <c r="J456" s="77"/>
      <c r="K456" s="77"/>
      <c r="L456" s="21">
        <v>0</v>
      </c>
    </row>
    <row r="457" spans="1:12" ht="12.75">
      <c r="A457" s="367">
        <f t="shared" si="52"/>
        <v>437</v>
      </c>
      <c r="B457" s="368"/>
      <c r="C457" s="368"/>
      <c r="D457" s="379" t="s">
        <v>160</v>
      </c>
      <c r="E457" s="66" t="s">
        <v>194</v>
      </c>
      <c r="F457" s="375"/>
      <c r="G457" s="79">
        <f t="shared" si="51"/>
        <v>0</v>
      </c>
      <c r="H457" s="77"/>
      <c r="I457" s="77"/>
      <c r="J457" s="77"/>
      <c r="K457" s="77"/>
      <c r="L457" s="21">
        <v>0</v>
      </c>
    </row>
    <row r="458" spans="1:12" ht="12.75">
      <c r="A458" s="367">
        <f t="shared" si="52"/>
        <v>438</v>
      </c>
      <c r="B458" s="368"/>
      <c r="C458" s="368"/>
      <c r="D458" s="369">
        <v>30</v>
      </c>
      <c r="E458" s="66" t="s">
        <v>271</v>
      </c>
      <c r="F458" s="375"/>
      <c r="G458" s="79">
        <f t="shared" si="51"/>
        <v>0</v>
      </c>
      <c r="H458" s="77"/>
      <c r="I458" s="77"/>
      <c r="J458" s="77"/>
      <c r="K458" s="77"/>
      <c r="L458" s="21">
        <v>0</v>
      </c>
    </row>
    <row r="459" spans="1:13" ht="12.75">
      <c r="A459" s="367">
        <f t="shared" si="52"/>
        <v>439</v>
      </c>
      <c r="B459" s="368"/>
      <c r="C459" s="377" t="s">
        <v>80</v>
      </c>
      <c r="D459" s="86"/>
      <c r="E459" s="59" t="s">
        <v>196</v>
      </c>
      <c r="F459" s="375"/>
      <c r="G459" s="79">
        <f t="shared" si="51"/>
        <v>639.4799999999999</v>
      </c>
      <c r="H459" s="77">
        <v>205</v>
      </c>
      <c r="I459" s="77">
        <v>357.82</v>
      </c>
      <c r="J459" s="77">
        <v>76.66</v>
      </c>
      <c r="K459" s="77"/>
      <c r="L459" s="21">
        <v>992.82</v>
      </c>
      <c r="M459" s="207"/>
    </row>
    <row r="460" spans="1:12" ht="12.75">
      <c r="A460" s="367">
        <f t="shared" si="52"/>
        <v>440</v>
      </c>
      <c r="B460" s="368"/>
      <c r="C460" s="377" t="s">
        <v>84</v>
      </c>
      <c r="D460" s="86"/>
      <c r="E460" s="59" t="s">
        <v>197</v>
      </c>
      <c r="F460" s="49">
        <f>+F461+F462</f>
        <v>0</v>
      </c>
      <c r="G460" s="50">
        <f t="shared" si="51"/>
        <v>0</v>
      </c>
      <c r="H460" s="166">
        <f>+H461+H462</f>
        <v>0</v>
      </c>
      <c r="I460" s="166">
        <f>+I461+I462</f>
        <v>0</v>
      </c>
      <c r="J460" s="166">
        <f>+J461+J462</f>
        <v>0</v>
      </c>
      <c r="K460" s="166">
        <f>+K461+K462</f>
        <v>0</v>
      </c>
      <c r="L460" s="21">
        <v>0</v>
      </c>
    </row>
    <row r="461" spans="1:12" ht="12.75">
      <c r="A461" s="367">
        <f t="shared" si="52"/>
        <v>441</v>
      </c>
      <c r="B461" s="368"/>
      <c r="C461" s="368"/>
      <c r="D461" s="379" t="s">
        <v>47</v>
      </c>
      <c r="E461" s="66" t="s">
        <v>198</v>
      </c>
      <c r="F461" s="375"/>
      <c r="G461" s="79">
        <f t="shared" si="51"/>
        <v>0</v>
      </c>
      <c r="H461" s="77"/>
      <c r="I461" s="77"/>
      <c r="J461" s="77"/>
      <c r="K461" s="77"/>
      <c r="L461" s="21">
        <v>0</v>
      </c>
    </row>
    <row r="462" spans="1:12" ht="12.75">
      <c r="A462" s="367">
        <f t="shared" si="52"/>
        <v>442</v>
      </c>
      <c r="B462" s="368"/>
      <c r="C462" s="368"/>
      <c r="D462" s="379" t="s">
        <v>80</v>
      </c>
      <c r="E462" s="66" t="s">
        <v>199</v>
      </c>
      <c r="F462" s="375"/>
      <c r="G462" s="79">
        <f t="shared" si="51"/>
        <v>0</v>
      </c>
      <c r="H462" s="77"/>
      <c r="I462" s="77"/>
      <c r="J462" s="77"/>
      <c r="K462" s="77"/>
      <c r="L462" s="21">
        <v>0</v>
      </c>
    </row>
    <row r="463" spans="1:12" ht="12.75">
      <c r="A463" s="367">
        <f t="shared" si="52"/>
        <v>443</v>
      </c>
      <c r="B463" s="368"/>
      <c r="C463" s="377" t="s">
        <v>108</v>
      </c>
      <c r="D463" s="369"/>
      <c r="E463" s="59" t="s">
        <v>200</v>
      </c>
      <c r="F463" s="49">
        <f>+F464+F465+F466+F467</f>
        <v>0</v>
      </c>
      <c r="G463" s="50">
        <f t="shared" si="51"/>
        <v>0</v>
      </c>
      <c r="H463" s="166">
        <f>+H464+H465+H466+H467</f>
        <v>0</v>
      </c>
      <c r="I463" s="166">
        <f>+I464+I465+I466+I467</f>
        <v>0</v>
      </c>
      <c r="J463" s="166">
        <f>+J464+J465+J466+J467</f>
        <v>0</v>
      </c>
      <c r="K463" s="166">
        <f>+K464+K465+K466+K467</f>
        <v>0</v>
      </c>
      <c r="L463" s="21">
        <v>0</v>
      </c>
    </row>
    <row r="464" spans="1:12" ht="12.75">
      <c r="A464" s="367">
        <f t="shared" si="52"/>
        <v>444</v>
      </c>
      <c r="B464" s="368"/>
      <c r="C464" s="368"/>
      <c r="D464" s="379" t="s">
        <v>47</v>
      </c>
      <c r="E464" s="66" t="s">
        <v>201</v>
      </c>
      <c r="F464" s="375"/>
      <c r="G464" s="79">
        <f t="shared" si="51"/>
        <v>0</v>
      </c>
      <c r="H464" s="77"/>
      <c r="I464" s="77"/>
      <c r="J464" s="77"/>
      <c r="K464" s="77"/>
      <c r="L464" s="21">
        <v>0</v>
      </c>
    </row>
    <row r="465" spans="1:12" ht="12.75">
      <c r="A465" s="367">
        <f t="shared" si="52"/>
        <v>445</v>
      </c>
      <c r="B465" s="368"/>
      <c r="C465" s="368"/>
      <c r="D465" s="379" t="s">
        <v>80</v>
      </c>
      <c r="E465" s="66" t="s">
        <v>202</v>
      </c>
      <c r="F465" s="375"/>
      <c r="G465" s="79">
        <f t="shared" si="51"/>
        <v>0</v>
      </c>
      <c r="H465" s="77"/>
      <c r="I465" s="77"/>
      <c r="J465" s="77"/>
      <c r="K465" s="77"/>
      <c r="L465" s="21">
        <v>0</v>
      </c>
    </row>
    <row r="466" spans="1:12" ht="12.75">
      <c r="A466" s="367">
        <f t="shared" si="52"/>
        <v>446</v>
      </c>
      <c r="B466" s="368"/>
      <c r="C466" s="368"/>
      <c r="D466" s="379" t="s">
        <v>84</v>
      </c>
      <c r="E466" s="66" t="s">
        <v>203</v>
      </c>
      <c r="F466" s="375"/>
      <c r="G466" s="79">
        <f t="shared" si="51"/>
        <v>0</v>
      </c>
      <c r="H466" s="77"/>
      <c r="I466" s="77"/>
      <c r="J466" s="77"/>
      <c r="K466" s="77"/>
      <c r="L466" s="21">
        <v>0</v>
      </c>
    </row>
    <row r="467" spans="1:12" ht="12.75">
      <c r="A467" s="367">
        <f t="shared" si="52"/>
        <v>447</v>
      </c>
      <c r="B467" s="368"/>
      <c r="C467" s="368"/>
      <c r="D467" s="379" t="s">
        <v>108</v>
      </c>
      <c r="E467" s="66" t="s">
        <v>204</v>
      </c>
      <c r="F467" s="375"/>
      <c r="G467" s="79">
        <f t="shared" si="51"/>
        <v>0</v>
      </c>
      <c r="H467" s="77"/>
      <c r="I467" s="77"/>
      <c r="J467" s="77"/>
      <c r="K467" s="77"/>
      <c r="L467" s="21">
        <v>0</v>
      </c>
    </row>
    <row r="468" spans="1:12" ht="12.75">
      <c r="A468" s="367">
        <f t="shared" si="52"/>
        <v>448</v>
      </c>
      <c r="B468" s="368"/>
      <c r="C468" s="377" t="s">
        <v>41</v>
      </c>
      <c r="D468" s="369"/>
      <c r="E468" s="85" t="s">
        <v>205</v>
      </c>
      <c r="F468" s="49">
        <f>+F469+F470+F471</f>
        <v>0</v>
      </c>
      <c r="G468" s="50">
        <f t="shared" si="51"/>
        <v>7.07</v>
      </c>
      <c r="H468" s="166">
        <f>+H469+H470+H471</f>
        <v>0</v>
      </c>
      <c r="I468" s="166">
        <f>+I469+I470+I471</f>
        <v>7.07</v>
      </c>
      <c r="J468" s="166">
        <f>+J469+J470+J471</f>
        <v>0</v>
      </c>
      <c r="K468" s="166">
        <f>+K469+K470+K471</f>
        <v>0</v>
      </c>
      <c r="L468" s="21">
        <v>7.07</v>
      </c>
    </row>
    <row r="469" spans="1:12" ht="12.75">
      <c r="A469" s="367">
        <f t="shared" si="52"/>
        <v>449</v>
      </c>
      <c r="B469" s="368"/>
      <c r="C469" s="368"/>
      <c r="D469" s="379" t="s">
        <v>47</v>
      </c>
      <c r="E469" s="66" t="s">
        <v>206</v>
      </c>
      <c r="F469" s="375"/>
      <c r="G469" s="79">
        <f t="shared" si="51"/>
        <v>0</v>
      </c>
      <c r="H469" s="77"/>
      <c r="I469" s="77"/>
      <c r="J469" s="77"/>
      <c r="K469" s="77"/>
      <c r="L469" s="21">
        <v>0</v>
      </c>
    </row>
    <row r="470" spans="1:12" ht="12.75">
      <c r="A470" s="367">
        <f t="shared" si="52"/>
        <v>450</v>
      </c>
      <c r="B470" s="368"/>
      <c r="C470" s="368"/>
      <c r="D470" s="379" t="s">
        <v>84</v>
      </c>
      <c r="E470" s="66" t="s">
        <v>207</v>
      </c>
      <c r="F470" s="375"/>
      <c r="G470" s="79">
        <f t="shared" si="51"/>
        <v>0</v>
      </c>
      <c r="H470" s="77"/>
      <c r="I470" s="77"/>
      <c r="J470" s="77"/>
      <c r="K470" s="77"/>
      <c r="L470" s="21">
        <v>0</v>
      </c>
    </row>
    <row r="471" spans="1:12" ht="12.75">
      <c r="A471" s="367">
        <f t="shared" si="52"/>
        <v>451</v>
      </c>
      <c r="B471" s="368"/>
      <c r="C471" s="368"/>
      <c r="D471" s="369">
        <v>30</v>
      </c>
      <c r="E471" s="66" t="s">
        <v>208</v>
      </c>
      <c r="F471" s="375"/>
      <c r="G471" s="79">
        <f t="shared" si="51"/>
        <v>7.07</v>
      </c>
      <c r="H471" s="77"/>
      <c r="I471" s="77">
        <v>7.07</v>
      </c>
      <c r="J471" s="77"/>
      <c r="K471" s="77"/>
      <c r="L471" s="21">
        <v>7.07</v>
      </c>
    </row>
    <row r="472" spans="1:12" ht="12.75">
      <c r="A472" s="367">
        <f t="shared" si="52"/>
        <v>452</v>
      </c>
      <c r="B472" s="368"/>
      <c r="C472" s="377" t="s">
        <v>154</v>
      </c>
      <c r="D472" s="369"/>
      <c r="E472" s="59" t="s">
        <v>209</v>
      </c>
      <c r="F472" s="49">
        <f>+F473+F474</f>
        <v>0</v>
      </c>
      <c r="G472" s="50">
        <f t="shared" si="51"/>
        <v>0</v>
      </c>
      <c r="H472" s="166">
        <f>+H473+H474</f>
        <v>0</v>
      </c>
      <c r="I472" s="166">
        <f>+I473+I474</f>
        <v>0</v>
      </c>
      <c r="J472" s="166">
        <f>+J473+J474</f>
        <v>0</v>
      </c>
      <c r="K472" s="166">
        <f>+K473+K474</f>
        <v>0</v>
      </c>
      <c r="L472" s="21">
        <v>0</v>
      </c>
    </row>
    <row r="473" spans="1:12" ht="12.75">
      <c r="A473" s="367">
        <f t="shared" si="52"/>
        <v>453</v>
      </c>
      <c r="B473" s="368"/>
      <c r="C473" s="368"/>
      <c r="D473" s="379" t="s">
        <v>47</v>
      </c>
      <c r="E473" s="78" t="s">
        <v>272</v>
      </c>
      <c r="F473" s="375"/>
      <c r="G473" s="79">
        <f t="shared" si="51"/>
        <v>0</v>
      </c>
      <c r="H473" s="77"/>
      <c r="I473" s="77"/>
      <c r="J473" s="77"/>
      <c r="K473" s="77"/>
      <c r="L473" s="21">
        <v>0</v>
      </c>
    </row>
    <row r="474" spans="1:12" ht="12.75">
      <c r="A474" s="367">
        <f t="shared" si="52"/>
        <v>454</v>
      </c>
      <c r="B474" s="368"/>
      <c r="C474" s="368"/>
      <c r="D474" s="379" t="s">
        <v>80</v>
      </c>
      <c r="E474" s="66" t="s">
        <v>211</v>
      </c>
      <c r="F474" s="375"/>
      <c r="G474" s="79">
        <f t="shared" si="51"/>
        <v>0</v>
      </c>
      <c r="H474" s="77"/>
      <c r="I474" s="77"/>
      <c r="J474" s="77"/>
      <c r="K474" s="77"/>
      <c r="L474" s="21">
        <v>0</v>
      </c>
    </row>
    <row r="475" spans="1:12" ht="12.75">
      <c r="A475" s="367">
        <f t="shared" si="52"/>
        <v>455</v>
      </c>
      <c r="B475" s="368"/>
      <c r="C475" s="377" t="s">
        <v>160</v>
      </c>
      <c r="D475" s="369"/>
      <c r="E475" s="85" t="s">
        <v>212</v>
      </c>
      <c r="F475" s="422"/>
      <c r="G475" s="79">
        <f t="shared" si="51"/>
        <v>0</v>
      </c>
      <c r="H475" s="467"/>
      <c r="I475" s="467"/>
      <c r="J475" s="467"/>
      <c r="K475" s="467"/>
      <c r="L475" s="21">
        <v>0</v>
      </c>
    </row>
    <row r="476" spans="1:12" ht="12.75">
      <c r="A476" s="367">
        <f t="shared" si="52"/>
        <v>456</v>
      </c>
      <c r="B476" s="368"/>
      <c r="C476" s="368">
        <v>10</v>
      </c>
      <c r="D476" s="369"/>
      <c r="E476" s="85" t="s">
        <v>213</v>
      </c>
      <c r="F476" s="422"/>
      <c r="G476" s="79">
        <f aca="true" t="shared" si="53" ref="G476:G544">H476+I476+J476+K476</f>
        <v>0</v>
      </c>
      <c r="H476" s="467"/>
      <c r="I476" s="467"/>
      <c r="J476" s="467"/>
      <c r="K476" s="467"/>
      <c r="L476" s="21">
        <v>0</v>
      </c>
    </row>
    <row r="477" spans="1:12" ht="12.75">
      <c r="A477" s="367">
        <f aca="true" t="shared" si="54" ref="A477:A544">A476+1</f>
        <v>457</v>
      </c>
      <c r="B477" s="368"/>
      <c r="C477" s="368">
        <v>11</v>
      </c>
      <c r="D477" s="369"/>
      <c r="E477" s="85" t="s">
        <v>273</v>
      </c>
      <c r="F477" s="422"/>
      <c r="G477" s="79">
        <f t="shared" si="53"/>
        <v>0</v>
      </c>
      <c r="H477" s="467"/>
      <c r="I477" s="467"/>
      <c r="J477" s="467"/>
      <c r="K477" s="467"/>
      <c r="L477" s="21">
        <v>0</v>
      </c>
    </row>
    <row r="478" spans="1:12" ht="12.75">
      <c r="A478" s="367">
        <f t="shared" si="54"/>
        <v>458</v>
      </c>
      <c r="B478" s="368"/>
      <c r="C478" s="368">
        <v>12</v>
      </c>
      <c r="D478" s="369"/>
      <c r="E478" s="85" t="s">
        <v>274</v>
      </c>
      <c r="F478" s="422"/>
      <c r="G478" s="79">
        <f t="shared" si="53"/>
        <v>0</v>
      </c>
      <c r="H478" s="467"/>
      <c r="I478" s="467"/>
      <c r="J478" s="467"/>
      <c r="K478" s="467"/>
      <c r="L478" s="21">
        <v>0</v>
      </c>
    </row>
    <row r="479" spans="1:12" ht="12.75">
      <c r="A479" s="367">
        <f t="shared" si="54"/>
        <v>459</v>
      </c>
      <c r="B479" s="368"/>
      <c r="C479" s="368">
        <v>13</v>
      </c>
      <c r="D479" s="369"/>
      <c r="E479" s="85" t="s">
        <v>216</v>
      </c>
      <c r="F479" s="422"/>
      <c r="G479" s="79">
        <f t="shared" si="53"/>
        <v>0</v>
      </c>
      <c r="H479" s="467"/>
      <c r="I479" s="467"/>
      <c r="J479" s="467"/>
      <c r="K479" s="467"/>
      <c r="L479" s="21">
        <v>0</v>
      </c>
    </row>
    <row r="480" spans="1:12" ht="12.75">
      <c r="A480" s="367">
        <f t="shared" si="54"/>
        <v>460</v>
      </c>
      <c r="B480" s="368"/>
      <c r="C480" s="368">
        <v>14</v>
      </c>
      <c r="D480" s="369"/>
      <c r="E480" s="85" t="s">
        <v>217</v>
      </c>
      <c r="F480" s="422"/>
      <c r="G480" s="79">
        <f t="shared" si="53"/>
        <v>0</v>
      </c>
      <c r="H480" s="467"/>
      <c r="I480" s="467"/>
      <c r="J480" s="467"/>
      <c r="K480" s="467"/>
      <c r="L480" s="21">
        <v>0</v>
      </c>
    </row>
    <row r="481" spans="1:12" ht="12.75">
      <c r="A481" s="367">
        <f t="shared" si="54"/>
        <v>461</v>
      </c>
      <c r="B481" s="368"/>
      <c r="C481" s="368">
        <v>25</v>
      </c>
      <c r="D481" s="369"/>
      <c r="E481" s="85" t="s">
        <v>218</v>
      </c>
      <c r="F481" s="422"/>
      <c r="G481" s="79">
        <f t="shared" si="53"/>
        <v>0</v>
      </c>
      <c r="H481" s="467"/>
      <c r="I481" s="467"/>
      <c r="J481" s="467"/>
      <c r="K481" s="467"/>
      <c r="L481" s="21">
        <v>0</v>
      </c>
    </row>
    <row r="482" spans="1:12" ht="12.75">
      <c r="A482" s="367">
        <f t="shared" si="54"/>
        <v>462</v>
      </c>
      <c r="B482" s="368"/>
      <c r="C482" s="368">
        <v>27</v>
      </c>
      <c r="D482" s="369"/>
      <c r="E482" s="85" t="s">
        <v>219</v>
      </c>
      <c r="F482" s="422"/>
      <c r="G482" s="79">
        <f t="shared" si="53"/>
        <v>0</v>
      </c>
      <c r="H482" s="467"/>
      <c r="I482" s="467"/>
      <c r="J482" s="467"/>
      <c r="K482" s="467"/>
      <c r="L482" s="21">
        <v>0</v>
      </c>
    </row>
    <row r="483" spans="1:12" ht="12.75">
      <c r="A483" s="367">
        <f t="shared" si="54"/>
        <v>463</v>
      </c>
      <c r="B483" s="368"/>
      <c r="C483" s="368">
        <v>30</v>
      </c>
      <c r="D483" s="369"/>
      <c r="E483" s="85" t="s">
        <v>120</v>
      </c>
      <c r="F483" s="49">
        <f>+F484+F485+F486+F487+F488</f>
        <v>0</v>
      </c>
      <c r="G483" s="50">
        <f t="shared" si="53"/>
        <v>0</v>
      </c>
      <c r="H483" s="166">
        <f>+H484+H485+H486+H487+H488</f>
        <v>0</v>
      </c>
      <c r="I483" s="166">
        <f>+I484+I485+I486+I487+I488</f>
        <v>0</v>
      </c>
      <c r="J483" s="166">
        <f>+J484+J485+J486+J487+J488</f>
        <v>0</v>
      </c>
      <c r="K483" s="166">
        <f>+K484+K485+K486+K487+K488</f>
        <v>0</v>
      </c>
      <c r="L483" s="21">
        <v>0</v>
      </c>
    </row>
    <row r="484" spans="1:12" ht="12.75">
      <c r="A484" s="367">
        <f t="shared" si="54"/>
        <v>464</v>
      </c>
      <c r="B484" s="368"/>
      <c r="C484" s="368"/>
      <c r="D484" s="379" t="s">
        <v>47</v>
      </c>
      <c r="E484" s="66" t="s">
        <v>220</v>
      </c>
      <c r="F484" s="375"/>
      <c r="G484" s="79">
        <f t="shared" si="53"/>
        <v>0</v>
      </c>
      <c r="H484" s="77"/>
      <c r="I484" s="77"/>
      <c r="J484" s="77"/>
      <c r="K484" s="77"/>
      <c r="L484" s="21">
        <v>0</v>
      </c>
    </row>
    <row r="485" spans="1:12" ht="12.75">
      <c r="A485" s="367">
        <f t="shared" si="54"/>
        <v>465</v>
      </c>
      <c r="B485" s="368"/>
      <c r="C485" s="368"/>
      <c r="D485" s="379" t="s">
        <v>84</v>
      </c>
      <c r="E485" s="66" t="s">
        <v>221</v>
      </c>
      <c r="F485" s="375"/>
      <c r="G485" s="79">
        <f t="shared" si="53"/>
        <v>0</v>
      </c>
      <c r="H485" s="77"/>
      <c r="I485" s="77"/>
      <c r="J485" s="77"/>
      <c r="K485" s="77"/>
      <c r="L485" s="21">
        <v>0</v>
      </c>
    </row>
    <row r="486" spans="1:12" ht="12.75">
      <c r="A486" s="367">
        <f t="shared" si="54"/>
        <v>466</v>
      </c>
      <c r="B486" s="368"/>
      <c r="C486" s="368"/>
      <c r="D486" s="379" t="s">
        <v>108</v>
      </c>
      <c r="E486" s="66" t="s">
        <v>222</v>
      </c>
      <c r="F486" s="375"/>
      <c r="G486" s="79">
        <f t="shared" si="53"/>
        <v>0</v>
      </c>
      <c r="H486" s="77"/>
      <c r="I486" s="77"/>
      <c r="J486" s="77"/>
      <c r="K486" s="77"/>
      <c r="L486" s="21">
        <v>0</v>
      </c>
    </row>
    <row r="487" spans="1:12" ht="12.75">
      <c r="A487" s="367">
        <f t="shared" si="54"/>
        <v>467</v>
      </c>
      <c r="B487" s="368"/>
      <c r="C487" s="368"/>
      <c r="D487" s="379" t="s">
        <v>160</v>
      </c>
      <c r="E487" s="66" t="s">
        <v>223</v>
      </c>
      <c r="F487" s="375"/>
      <c r="G487" s="79">
        <f t="shared" si="53"/>
        <v>0</v>
      </c>
      <c r="H487" s="77"/>
      <c r="I487" s="77"/>
      <c r="J487" s="77"/>
      <c r="K487" s="77"/>
      <c r="L487" s="21">
        <v>0</v>
      </c>
    </row>
    <row r="488" spans="1:12" ht="12.75">
      <c r="A488" s="367">
        <f t="shared" si="54"/>
        <v>468</v>
      </c>
      <c r="B488" s="368"/>
      <c r="C488" s="368"/>
      <c r="D488" s="369">
        <v>30</v>
      </c>
      <c r="E488" s="66" t="s">
        <v>224</v>
      </c>
      <c r="F488" s="375"/>
      <c r="G488" s="79">
        <f t="shared" si="53"/>
        <v>0</v>
      </c>
      <c r="H488" s="77"/>
      <c r="I488" s="77"/>
      <c r="J488" s="77"/>
      <c r="K488" s="77"/>
      <c r="L488" s="21">
        <v>0</v>
      </c>
    </row>
    <row r="489" spans="1:12" ht="12.75">
      <c r="A489" s="367">
        <f t="shared" si="54"/>
        <v>469</v>
      </c>
      <c r="B489" s="395">
        <v>30</v>
      </c>
      <c r="C489" s="395"/>
      <c r="D489" s="396"/>
      <c r="E489" s="418" t="s">
        <v>225</v>
      </c>
      <c r="F489" s="49">
        <f>+F490</f>
        <v>0</v>
      </c>
      <c r="G489" s="50">
        <f t="shared" si="53"/>
        <v>0</v>
      </c>
      <c r="H489" s="49">
        <f aca="true" t="shared" si="55" ref="H489:K490">+H490</f>
        <v>0</v>
      </c>
      <c r="I489" s="49">
        <f t="shared" si="55"/>
        <v>0</v>
      </c>
      <c r="J489" s="49">
        <f t="shared" si="55"/>
        <v>0</v>
      </c>
      <c r="K489" s="49">
        <f t="shared" si="55"/>
        <v>0</v>
      </c>
      <c r="L489" s="21">
        <v>0</v>
      </c>
    </row>
    <row r="490" spans="1:12" ht="12.75">
      <c r="A490" s="367">
        <f t="shared" si="54"/>
        <v>470</v>
      </c>
      <c r="B490" s="395"/>
      <c r="C490" s="401" t="s">
        <v>84</v>
      </c>
      <c r="D490" s="396"/>
      <c r="E490" s="418" t="s">
        <v>226</v>
      </c>
      <c r="F490" s="49">
        <f>+F491</f>
        <v>0</v>
      </c>
      <c r="G490" s="50">
        <f t="shared" si="53"/>
        <v>0</v>
      </c>
      <c r="H490" s="49">
        <f t="shared" si="55"/>
        <v>0</v>
      </c>
      <c r="I490" s="49">
        <f t="shared" si="55"/>
        <v>0</v>
      </c>
      <c r="J490" s="49">
        <f t="shared" si="55"/>
        <v>0</v>
      </c>
      <c r="K490" s="49">
        <f t="shared" si="55"/>
        <v>0</v>
      </c>
      <c r="L490" s="21">
        <v>0</v>
      </c>
    </row>
    <row r="491" spans="1:12" ht="12.75">
      <c r="A491" s="367">
        <f t="shared" si="54"/>
        <v>471</v>
      </c>
      <c r="B491" s="395"/>
      <c r="C491" s="401"/>
      <c r="D491" s="402" t="s">
        <v>41</v>
      </c>
      <c r="E491" s="419" t="s">
        <v>227</v>
      </c>
      <c r="F491" s="375"/>
      <c r="G491" s="79">
        <f t="shared" si="53"/>
        <v>0</v>
      </c>
      <c r="H491" s="375"/>
      <c r="I491" s="375"/>
      <c r="J491" s="375"/>
      <c r="K491" s="375"/>
      <c r="L491" s="21">
        <v>0</v>
      </c>
    </row>
    <row r="492" spans="1:12" ht="25.5">
      <c r="A492" s="367">
        <f t="shared" si="54"/>
        <v>472</v>
      </c>
      <c r="B492" s="404" t="s">
        <v>228</v>
      </c>
      <c r="C492" s="401"/>
      <c r="D492" s="402"/>
      <c r="E492" s="413" t="s">
        <v>229</v>
      </c>
      <c r="F492" s="375"/>
      <c r="G492" s="79">
        <f t="shared" si="53"/>
        <v>0</v>
      </c>
      <c r="H492" s="375"/>
      <c r="I492" s="375"/>
      <c r="J492" s="375"/>
      <c r="K492" s="375"/>
      <c r="L492" s="21">
        <v>0</v>
      </c>
    </row>
    <row r="493" spans="1:12" ht="12.75">
      <c r="A493" s="367">
        <f t="shared" si="54"/>
        <v>473</v>
      </c>
      <c r="B493" s="395">
        <v>57</v>
      </c>
      <c r="C493" s="401"/>
      <c r="D493" s="402"/>
      <c r="E493" s="418" t="s">
        <v>230</v>
      </c>
      <c r="F493" s="109">
        <f>F494+F495</f>
        <v>0</v>
      </c>
      <c r="G493" s="168">
        <f t="shared" si="53"/>
        <v>0</v>
      </c>
      <c r="H493" s="109">
        <f>H494+H495</f>
        <v>0</v>
      </c>
      <c r="I493" s="109">
        <f>I494+I495</f>
        <v>0</v>
      </c>
      <c r="J493" s="109">
        <f>J494</f>
        <v>0</v>
      </c>
      <c r="K493" s="109">
        <f>K494+K495</f>
        <v>0</v>
      </c>
      <c r="L493" s="21">
        <v>0</v>
      </c>
    </row>
    <row r="494" spans="1:12" ht="12.75">
      <c r="A494" s="367">
        <f t="shared" si="54"/>
        <v>474</v>
      </c>
      <c r="B494" s="395"/>
      <c r="C494" s="401" t="s">
        <v>47</v>
      </c>
      <c r="D494" s="402"/>
      <c r="E494" s="418" t="s">
        <v>231</v>
      </c>
      <c r="F494" s="109"/>
      <c r="G494" s="168">
        <f t="shared" si="53"/>
        <v>0</v>
      </c>
      <c r="H494" s="109"/>
      <c r="I494" s="109"/>
      <c r="J494" s="109"/>
      <c r="K494" s="109"/>
      <c r="L494" s="21">
        <v>0</v>
      </c>
    </row>
    <row r="495" spans="1:12" ht="12.75">
      <c r="A495" s="367">
        <f t="shared" si="54"/>
        <v>475</v>
      </c>
      <c r="B495" s="395"/>
      <c r="C495" s="401" t="s">
        <v>80</v>
      </c>
      <c r="D495" s="402"/>
      <c r="E495" s="419" t="s">
        <v>232</v>
      </c>
      <c r="F495" s="109">
        <f>F496+F497+F498+F499</f>
        <v>0</v>
      </c>
      <c r="G495" s="168">
        <f t="shared" si="53"/>
        <v>0</v>
      </c>
      <c r="H495" s="109">
        <f>H496+H497+H498+H499</f>
        <v>0</v>
      </c>
      <c r="I495" s="109">
        <f>I496+I497+I498+I499</f>
        <v>0</v>
      </c>
      <c r="J495" s="109">
        <f>J496+J497+J498+J499</f>
        <v>0</v>
      </c>
      <c r="K495" s="109">
        <f>K496+K497+K498+K499</f>
        <v>0</v>
      </c>
      <c r="L495" s="21">
        <v>0</v>
      </c>
    </row>
    <row r="496" spans="1:12" ht="12.75">
      <c r="A496" s="367">
        <f t="shared" si="54"/>
        <v>476</v>
      </c>
      <c r="B496" s="395"/>
      <c r="C496" s="401"/>
      <c r="D496" s="402" t="s">
        <v>47</v>
      </c>
      <c r="E496" s="419" t="s">
        <v>233</v>
      </c>
      <c r="F496" s="423"/>
      <c r="G496" s="424">
        <f t="shared" si="53"/>
        <v>0</v>
      </c>
      <c r="H496" s="423"/>
      <c r="I496" s="423"/>
      <c r="J496" s="423"/>
      <c r="K496" s="423"/>
      <c r="L496" s="21">
        <v>0</v>
      </c>
    </row>
    <row r="497" spans="1:12" ht="12.75">
      <c r="A497" s="367">
        <f t="shared" si="54"/>
        <v>477</v>
      </c>
      <c r="B497" s="395"/>
      <c r="C497" s="401"/>
      <c r="D497" s="402" t="s">
        <v>80</v>
      </c>
      <c r="E497" s="419" t="s">
        <v>234</v>
      </c>
      <c r="F497" s="423"/>
      <c r="G497" s="424">
        <f t="shared" si="53"/>
        <v>0</v>
      </c>
      <c r="H497" s="423"/>
      <c r="I497" s="423"/>
      <c r="J497" s="423"/>
      <c r="K497" s="423"/>
      <c r="L497" s="21">
        <v>0</v>
      </c>
    </row>
    <row r="498" spans="1:12" ht="12.75">
      <c r="A498" s="367">
        <f t="shared" si="54"/>
        <v>478</v>
      </c>
      <c r="B498" s="395"/>
      <c r="C498" s="401"/>
      <c r="D498" s="402" t="s">
        <v>84</v>
      </c>
      <c r="E498" s="419" t="s">
        <v>235</v>
      </c>
      <c r="F498" s="423"/>
      <c r="G498" s="424">
        <f t="shared" si="53"/>
        <v>0</v>
      </c>
      <c r="H498" s="423"/>
      <c r="I498" s="423"/>
      <c r="J498" s="423"/>
      <c r="K498" s="423"/>
      <c r="L498" s="21">
        <v>0</v>
      </c>
    </row>
    <row r="499" spans="1:12" ht="12.75">
      <c r="A499" s="367">
        <f t="shared" si="54"/>
        <v>479</v>
      </c>
      <c r="B499" s="395"/>
      <c r="C499" s="401"/>
      <c r="D499" s="402" t="s">
        <v>108</v>
      </c>
      <c r="E499" s="419" t="s">
        <v>236</v>
      </c>
      <c r="F499" s="423"/>
      <c r="G499" s="424">
        <f t="shared" si="53"/>
        <v>0</v>
      </c>
      <c r="H499" s="423"/>
      <c r="I499" s="423"/>
      <c r="J499" s="423"/>
      <c r="K499" s="423"/>
      <c r="L499" s="21">
        <v>0</v>
      </c>
    </row>
    <row r="500" spans="1:12" ht="12.75">
      <c r="A500" s="367">
        <f>A499+1</f>
        <v>480</v>
      </c>
      <c r="B500" s="368">
        <v>70</v>
      </c>
      <c r="C500" s="368"/>
      <c r="D500" s="369"/>
      <c r="E500" s="85" t="s">
        <v>288</v>
      </c>
      <c r="F500" s="49">
        <f>+F501</f>
        <v>0</v>
      </c>
      <c r="G500" s="50">
        <f t="shared" si="53"/>
        <v>1683.6999999999998</v>
      </c>
      <c r="H500" s="166">
        <f>+H501</f>
        <v>382</v>
      </c>
      <c r="I500" s="166">
        <f>+I501</f>
        <v>1301.6999999999998</v>
      </c>
      <c r="J500" s="166">
        <f>+J501</f>
        <v>0</v>
      </c>
      <c r="K500" s="166">
        <f>+K501</f>
        <v>0</v>
      </c>
      <c r="L500" s="21">
        <v>7342</v>
      </c>
    </row>
    <row r="501" spans="1:12" ht="12.75">
      <c r="A501" s="367">
        <f t="shared" si="54"/>
        <v>481</v>
      </c>
      <c r="B501" s="368">
        <v>71</v>
      </c>
      <c r="C501" s="368"/>
      <c r="D501" s="369"/>
      <c r="E501" s="85" t="s">
        <v>238</v>
      </c>
      <c r="F501" s="49">
        <f>+F502+F507</f>
        <v>0</v>
      </c>
      <c r="G501" s="50">
        <f t="shared" si="53"/>
        <v>1683.6999999999998</v>
      </c>
      <c r="H501" s="166">
        <f>+H502+H507</f>
        <v>382</v>
      </c>
      <c r="I501" s="166">
        <f>+I502+I507</f>
        <v>1301.6999999999998</v>
      </c>
      <c r="J501" s="166">
        <f>+J502+J507</f>
        <v>0</v>
      </c>
      <c r="K501" s="166">
        <f>+K502+K507</f>
        <v>0</v>
      </c>
      <c r="L501" s="21">
        <v>7342</v>
      </c>
    </row>
    <row r="502" spans="1:12" ht="12.75">
      <c r="A502" s="367">
        <f t="shared" si="54"/>
        <v>482</v>
      </c>
      <c r="B502" s="368"/>
      <c r="C502" s="377" t="s">
        <v>47</v>
      </c>
      <c r="D502" s="369"/>
      <c r="E502" s="85" t="s">
        <v>77</v>
      </c>
      <c r="F502" s="49">
        <f>+F503+F504+F505+F506</f>
        <v>0</v>
      </c>
      <c r="G502" s="50">
        <f t="shared" si="53"/>
        <v>0</v>
      </c>
      <c r="H502" s="166">
        <f>+H503+H504+H505+H506</f>
        <v>0</v>
      </c>
      <c r="I502" s="166">
        <f>+I503+I504+I505+I506</f>
        <v>0</v>
      </c>
      <c r="J502" s="166">
        <f>+J503+J504+J505+J506</f>
        <v>0</v>
      </c>
      <c r="K502" s="166">
        <f>+K503+K504+K505+K506</f>
        <v>0</v>
      </c>
      <c r="L502" s="21">
        <v>0</v>
      </c>
    </row>
    <row r="503" spans="1:12" ht="12.75">
      <c r="A503" s="367">
        <f t="shared" si="54"/>
        <v>483</v>
      </c>
      <c r="B503" s="368"/>
      <c r="C503" s="368"/>
      <c r="D503" s="379" t="s">
        <v>47</v>
      </c>
      <c r="E503" s="66" t="s">
        <v>239</v>
      </c>
      <c r="F503" s="375"/>
      <c r="G503" s="79">
        <f t="shared" si="53"/>
        <v>0</v>
      </c>
      <c r="H503" s="77"/>
      <c r="I503" s="77"/>
      <c r="J503" s="77"/>
      <c r="K503" s="77"/>
      <c r="L503" s="21">
        <v>0</v>
      </c>
    </row>
    <row r="504" spans="1:12" ht="12.75">
      <c r="A504" s="367">
        <f t="shared" si="54"/>
        <v>484</v>
      </c>
      <c r="B504" s="368"/>
      <c r="C504" s="368"/>
      <c r="D504" s="379" t="s">
        <v>80</v>
      </c>
      <c r="E504" s="66" t="s">
        <v>81</v>
      </c>
      <c r="F504" s="375"/>
      <c r="G504" s="79">
        <f t="shared" si="53"/>
        <v>0</v>
      </c>
      <c r="H504" s="77"/>
      <c r="I504" s="77"/>
      <c r="J504" s="77"/>
      <c r="K504" s="77"/>
      <c r="L504" s="21">
        <v>0</v>
      </c>
    </row>
    <row r="505" spans="1:12" ht="12.75">
      <c r="A505" s="367">
        <f t="shared" si="54"/>
        <v>485</v>
      </c>
      <c r="B505" s="368"/>
      <c r="C505" s="368"/>
      <c r="D505" s="379" t="s">
        <v>84</v>
      </c>
      <c r="E505" s="66" t="s">
        <v>245</v>
      </c>
      <c r="F505" s="375"/>
      <c r="G505" s="79">
        <f t="shared" si="53"/>
        <v>0</v>
      </c>
      <c r="H505" s="77"/>
      <c r="I505" s="77"/>
      <c r="J505" s="77"/>
      <c r="K505" s="77"/>
      <c r="L505" s="21">
        <v>0</v>
      </c>
    </row>
    <row r="506" spans="1:12" ht="12.75">
      <c r="A506" s="367">
        <f t="shared" si="54"/>
        <v>486</v>
      </c>
      <c r="B506" s="368"/>
      <c r="C506" s="368"/>
      <c r="D506" s="369">
        <v>30</v>
      </c>
      <c r="E506" s="66" t="s">
        <v>275</v>
      </c>
      <c r="F506" s="375"/>
      <c r="G506" s="79">
        <f t="shared" si="53"/>
        <v>0</v>
      </c>
      <c r="H506" s="77"/>
      <c r="I506" s="77"/>
      <c r="J506" s="77"/>
      <c r="K506" s="77"/>
      <c r="L506" s="21">
        <v>0</v>
      </c>
    </row>
    <row r="507" spans="1:13" ht="12.75">
      <c r="A507" s="367">
        <f t="shared" si="54"/>
        <v>487</v>
      </c>
      <c r="B507" s="368"/>
      <c r="C507" s="377" t="s">
        <v>84</v>
      </c>
      <c r="D507" s="369"/>
      <c r="E507" s="66" t="s">
        <v>243</v>
      </c>
      <c r="F507" s="375"/>
      <c r="G507" s="79">
        <f t="shared" si="53"/>
        <v>1683.6999999999998</v>
      </c>
      <c r="H507" s="77">
        <v>382</v>
      </c>
      <c r="I507" s="77">
        <f>3438-1157.22-979.08</f>
        <v>1301.6999999999998</v>
      </c>
      <c r="J507" s="77">
        <v>0</v>
      </c>
      <c r="K507" s="77"/>
      <c r="L507" s="21">
        <v>979.08</v>
      </c>
      <c r="M507" s="207"/>
    </row>
    <row r="508" spans="1:12" ht="12.75">
      <c r="A508" s="367">
        <f t="shared" si="54"/>
        <v>488</v>
      </c>
      <c r="B508" s="368"/>
      <c r="C508" s="368"/>
      <c r="D508" s="369"/>
      <c r="E508" s="85" t="s">
        <v>244</v>
      </c>
      <c r="F508" s="49">
        <f>+F509+F510+F511</f>
        <v>0</v>
      </c>
      <c r="G508" s="50">
        <f t="shared" si="53"/>
        <v>0</v>
      </c>
      <c r="H508" s="49">
        <f>+H509+H510+H511</f>
        <v>0</v>
      </c>
      <c r="I508" s="49">
        <f>+I509+I510+I511</f>
        <v>0</v>
      </c>
      <c r="J508" s="49">
        <f>+J509+J510+J511</f>
        <v>0</v>
      </c>
      <c r="K508" s="124">
        <f>+K509+K510+K511</f>
        <v>0</v>
      </c>
      <c r="L508" s="21">
        <v>0</v>
      </c>
    </row>
    <row r="509" spans="1:12" ht="12.75">
      <c r="A509" s="367">
        <f t="shared" si="54"/>
        <v>489</v>
      </c>
      <c r="B509" s="368">
        <v>71</v>
      </c>
      <c r="C509" s="377" t="s">
        <v>47</v>
      </c>
      <c r="D509" s="379" t="s">
        <v>80</v>
      </c>
      <c r="E509" s="66" t="s">
        <v>81</v>
      </c>
      <c r="F509" s="375"/>
      <c r="G509" s="79">
        <f t="shared" si="53"/>
        <v>0</v>
      </c>
      <c r="H509" s="375"/>
      <c r="I509" s="375"/>
      <c r="J509" s="375"/>
      <c r="K509" s="412"/>
      <c r="L509" s="21">
        <v>0</v>
      </c>
    </row>
    <row r="510" spans="1:12" ht="12.75">
      <c r="A510" s="367">
        <f t="shared" si="54"/>
        <v>490</v>
      </c>
      <c r="B510" s="368"/>
      <c r="C510" s="368"/>
      <c r="D510" s="379" t="s">
        <v>84</v>
      </c>
      <c r="E510" s="66" t="s">
        <v>245</v>
      </c>
      <c r="F510" s="375"/>
      <c r="G510" s="79">
        <f t="shared" si="53"/>
        <v>0</v>
      </c>
      <c r="H510" s="375"/>
      <c r="I510" s="375"/>
      <c r="J510" s="375"/>
      <c r="K510" s="412"/>
      <c r="L510" s="21">
        <v>0</v>
      </c>
    </row>
    <row r="511" spans="1:12" ht="12.75">
      <c r="A511" s="367">
        <f t="shared" si="54"/>
        <v>491</v>
      </c>
      <c r="B511" s="368"/>
      <c r="C511" s="368"/>
      <c r="D511" s="369">
        <v>30</v>
      </c>
      <c r="E511" s="97" t="s">
        <v>242</v>
      </c>
      <c r="F511" s="375"/>
      <c r="G511" s="79">
        <f t="shared" si="53"/>
        <v>0</v>
      </c>
      <c r="H511" s="375"/>
      <c r="I511" s="375"/>
      <c r="J511" s="375"/>
      <c r="K511" s="412"/>
      <c r="L511" s="21">
        <v>0</v>
      </c>
    </row>
    <row r="512" spans="1:12" ht="12.75">
      <c r="A512" s="367">
        <f t="shared" si="54"/>
        <v>492</v>
      </c>
      <c r="B512" s="368"/>
      <c r="C512" s="368"/>
      <c r="D512" s="369"/>
      <c r="E512" s="66" t="s">
        <v>246</v>
      </c>
      <c r="F512" s="168">
        <f>F514</f>
        <v>0</v>
      </c>
      <c r="G512" s="50">
        <f t="shared" si="53"/>
        <v>2330.3599999999997</v>
      </c>
      <c r="H512" s="168">
        <f>H514</f>
        <v>587</v>
      </c>
      <c r="I512" s="168">
        <f>I514</f>
        <v>1666.7</v>
      </c>
      <c r="J512" s="168">
        <f>J514</f>
        <v>76.66</v>
      </c>
      <c r="K512" s="168">
        <f>K514</f>
        <v>0</v>
      </c>
      <c r="L512" s="21">
        <v>8342</v>
      </c>
    </row>
    <row r="513" spans="1:12" ht="12.75">
      <c r="A513" s="367"/>
      <c r="B513" s="368" t="s">
        <v>18</v>
      </c>
      <c r="C513" s="368" t="s">
        <v>247</v>
      </c>
      <c r="D513" s="86" t="s">
        <v>20</v>
      </c>
      <c r="E513" s="66"/>
      <c r="F513" s="109"/>
      <c r="G513" s="79">
        <f t="shared" si="53"/>
        <v>0</v>
      </c>
      <c r="H513" s="109"/>
      <c r="I513" s="109"/>
      <c r="J513" s="109"/>
      <c r="K513" s="420"/>
      <c r="L513" s="21">
        <v>0</v>
      </c>
    </row>
    <row r="514" spans="1:12" ht="12.75">
      <c r="A514" s="367">
        <f>A512+1</f>
        <v>493</v>
      </c>
      <c r="B514" s="368"/>
      <c r="C514" s="368"/>
      <c r="D514" s="369"/>
      <c r="E514" s="85" t="s">
        <v>295</v>
      </c>
      <c r="F514" s="49">
        <f>+F515+F518+F519</f>
        <v>0</v>
      </c>
      <c r="G514" s="50">
        <f t="shared" si="53"/>
        <v>2330.3599999999997</v>
      </c>
      <c r="H514" s="49">
        <f>+H515+H518+H519+H523</f>
        <v>587</v>
      </c>
      <c r="I514" s="49">
        <f>+I515+I518+I519+I523</f>
        <v>1666.7</v>
      </c>
      <c r="J514" s="49">
        <f>+J515+J518+J519+J523</f>
        <v>76.66</v>
      </c>
      <c r="K514" s="49">
        <f>+K515+K518+K519+K523</f>
        <v>0</v>
      </c>
      <c r="L514" s="21">
        <v>8342</v>
      </c>
    </row>
    <row r="515" spans="1:12" ht="12.75">
      <c r="A515" s="367">
        <f t="shared" si="54"/>
        <v>494</v>
      </c>
      <c r="B515" s="368"/>
      <c r="C515" s="377" t="s">
        <v>108</v>
      </c>
      <c r="D515" s="369"/>
      <c r="E515" s="59" t="s">
        <v>250</v>
      </c>
      <c r="F515" s="49">
        <f>+F516+F517</f>
        <v>0</v>
      </c>
      <c r="G515" s="50">
        <f t="shared" si="53"/>
        <v>0</v>
      </c>
      <c r="H515" s="49">
        <f>+H516+H517</f>
        <v>0</v>
      </c>
      <c r="I515" s="49">
        <f>+I516+I517</f>
        <v>0</v>
      </c>
      <c r="J515" s="49">
        <f>+J516+J517</f>
        <v>0</v>
      </c>
      <c r="K515" s="124">
        <f>+K516+K517</f>
        <v>0</v>
      </c>
      <c r="L515" s="21">
        <v>0</v>
      </c>
    </row>
    <row r="516" spans="1:12" ht="12.75">
      <c r="A516" s="367">
        <f t="shared" si="54"/>
        <v>495</v>
      </c>
      <c r="B516" s="368"/>
      <c r="C516" s="368"/>
      <c r="D516" s="379" t="s">
        <v>80</v>
      </c>
      <c r="E516" s="66" t="s">
        <v>251</v>
      </c>
      <c r="F516" s="375"/>
      <c r="G516" s="79">
        <f t="shared" si="53"/>
        <v>0</v>
      </c>
      <c r="H516" s="375"/>
      <c r="I516" s="375"/>
      <c r="J516" s="375"/>
      <c r="K516" s="412"/>
      <c r="L516" s="21">
        <v>0</v>
      </c>
    </row>
    <row r="517" spans="1:12" ht="12.75">
      <c r="A517" s="367">
        <f t="shared" si="54"/>
        <v>496</v>
      </c>
      <c r="B517" s="368"/>
      <c r="C517" s="368"/>
      <c r="D517" s="369">
        <v>50</v>
      </c>
      <c r="E517" s="66" t="s">
        <v>278</v>
      </c>
      <c r="F517" s="375"/>
      <c r="G517" s="79">
        <f t="shared" si="53"/>
        <v>0</v>
      </c>
      <c r="H517" s="375"/>
      <c r="I517" s="375"/>
      <c r="J517" s="375"/>
      <c r="K517" s="412"/>
      <c r="L517" s="21">
        <v>0</v>
      </c>
    </row>
    <row r="518" spans="1:12" ht="12.75">
      <c r="A518" s="367">
        <f t="shared" si="54"/>
        <v>497</v>
      </c>
      <c r="B518" s="368"/>
      <c r="C518" s="377" t="s">
        <v>41</v>
      </c>
      <c r="D518" s="369"/>
      <c r="E518" s="59" t="s">
        <v>253</v>
      </c>
      <c r="F518" s="375"/>
      <c r="G518" s="79">
        <f t="shared" si="53"/>
        <v>0</v>
      </c>
      <c r="H518" s="375"/>
      <c r="I518" s="375"/>
      <c r="J518" s="375"/>
      <c r="K518" s="412"/>
      <c r="L518" s="21">
        <v>0</v>
      </c>
    </row>
    <row r="519" spans="1:12" ht="12.75">
      <c r="A519" s="367">
        <f t="shared" si="54"/>
        <v>498</v>
      </c>
      <c r="B519" s="368"/>
      <c r="C519" s="377" t="s">
        <v>154</v>
      </c>
      <c r="D519" s="369"/>
      <c r="E519" s="59" t="s">
        <v>289</v>
      </c>
      <c r="F519" s="49">
        <f>+F520+F521</f>
        <v>0</v>
      </c>
      <c r="G519" s="50">
        <f t="shared" si="53"/>
        <v>2330.3599999999997</v>
      </c>
      <c r="H519" s="49">
        <f>+H520+H521+H522</f>
        <v>587</v>
      </c>
      <c r="I519" s="49">
        <f>+I520+I521+I522</f>
        <v>1666.7</v>
      </c>
      <c r="J519" s="49">
        <f>+J520+J521+J522</f>
        <v>76.66</v>
      </c>
      <c r="K519" s="49">
        <f>+K520+K521+K522</f>
        <v>0</v>
      </c>
      <c r="L519" s="21">
        <v>8342</v>
      </c>
    </row>
    <row r="520" spans="1:20" ht="12.75">
      <c r="A520" s="367">
        <f t="shared" si="54"/>
        <v>499</v>
      </c>
      <c r="B520" s="368"/>
      <c r="C520" s="368"/>
      <c r="D520" s="379" t="s">
        <v>47</v>
      </c>
      <c r="E520" s="66" t="s">
        <v>255</v>
      </c>
      <c r="F520" s="375"/>
      <c r="G520" s="79">
        <f t="shared" si="53"/>
        <v>2330.3599999999997</v>
      </c>
      <c r="H520" s="375">
        <v>587</v>
      </c>
      <c r="I520" s="375">
        <v>1666.7</v>
      </c>
      <c r="J520" s="375">
        <v>76.66</v>
      </c>
      <c r="K520" s="412">
        <v>0</v>
      </c>
      <c r="L520" s="21">
        <v>8342</v>
      </c>
      <c r="O520" s="123"/>
      <c r="P520" s="123"/>
      <c r="Q520" s="123"/>
      <c r="R520" s="123"/>
      <c r="S520" s="123"/>
      <c r="T520" s="123"/>
    </row>
    <row r="521" spans="1:20" ht="12.75">
      <c r="A521" s="367">
        <f t="shared" si="54"/>
        <v>500</v>
      </c>
      <c r="B521" s="368"/>
      <c r="C521" s="368"/>
      <c r="D521" s="379" t="s">
        <v>154</v>
      </c>
      <c r="E521" s="66" t="s">
        <v>296</v>
      </c>
      <c r="F521" s="375"/>
      <c r="G521" s="79">
        <f t="shared" si="53"/>
        <v>0</v>
      </c>
      <c r="H521" s="375"/>
      <c r="I521" s="375"/>
      <c r="J521" s="375"/>
      <c r="K521" s="412"/>
      <c r="L521" s="21">
        <v>0</v>
      </c>
      <c r="O521" s="123"/>
      <c r="P521" s="214"/>
      <c r="Q521" s="123"/>
      <c r="R521" s="123"/>
      <c r="S521" s="123"/>
      <c r="T521" s="123"/>
    </row>
    <row r="522" spans="1:20" ht="12.75">
      <c r="A522" s="367">
        <f t="shared" si="54"/>
        <v>501</v>
      </c>
      <c r="B522" s="368"/>
      <c r="C522" s="379">
        <v>10</v>
      </c>
      <c r="D522" s="379"/>
      <c r="E522" s="66" t="s">
        <v>290</v>
      </c>
      <c r="F522" s="375"/>
      <c r="G522" s="79">
        <f t="shared" si="53"/>
        <v>0</v>
      </c>
      <c r="H522" s="375"/>
      <c r="I522" s="375"/>
      <c r="J522" s="375"/>
      <c r="K522" s="412"/>
      <c r="L522" s="21">
        <v>0</v>
      </c>
      <c r="O522" s="123"/>
      <c r="P522" s="123"/>
      <c r="Q522" s="123"/>
      <c r="R522" s="123"/>
      <c r="S522" s="123"/>
      <c r="T522" s="123"/>
    </row>
    <row r="523" spans="1:20" ht="12.75">
      <c r="A523" s="367">
        <f t="shared" si="54"/>
        <v>502</v>
      </c>
      <c r="B523" s="368"/>
      <c r="C523" s="421">
        <v>50</v>
      </c>
      <c r="D523" s="421"/>
      <c r="E523" s="59" t="s">
        <v>291</v>
      </c>
      <c r="F523" s="109"/>
      <c r="G523" s="50">
        <f t="shared" si="53"/>
        <v>0</v>
      </c>
      <c r="H523" s="168">
        <f>H524+H525</f>
        <v>0</v>
      </c>
      <c r="I523" s="168">
        <f>I524+I525</f>
        <v>0</v>
      </c>
      <c r="J523" s="168">
        <f>J524+J525</f>
        <v>0</v>
      </c>
      <c r="K523" s="168">
        <f>K524+K525</f>
        <v>0</v>
      </c>
      <c r="L523" s="21">
        <v>0</v>
      </c>
      <c r="O523" s="123"/>
      <c r="P523" s="123"/>
      <c r="Q523" s="123"/>
      <c r="R523" s="123"/>
      <c r="S523" s="123"/>
      <c r="T523" s="123"/>
    </row>
    <row r="524" spans="1:20" ht="12.75">
      <c r="A524" s="367">
        <f t="shared" si="54"/>
        <v>503</v>
      </c>
      <c r="B524" s="368"/>
      <c r="C524" s="368"/>
      <c r="D524" s="379">
        <v>1</v>
      </c>
      <c r="E524" s="66" t="s">
        <v>259</v>
      </c>
      <c r="F524" s="375"/>
      <c r="G524" s="79">
        <f t="shared" si="53"/>
        <v>0</v>
      </c>
      <c r="H524" s="375"/>
      <c r="I524" s="375"/>
      <c r="J524" s="375"/>
      <c r="K524" s="412"/>
      <c r="L524" s="21">
        <v>0</v>
      </c>
      <c r="O524" s="123"/>
      <c r="P524" s="123"/>
      <c r="Q524" s="123"/>
      <c r="R524" s="123"/>
      <c r="S524" s="123"/>
      <c r="T524" s="123"/>
    </row>
    <row r="525" spans="1:20" ht="12.75">
      <c r="A525" s="367">
        <f t="shared" si="54"/>
        <v>504</v>
      </c>
      <c r="B525" s="368"/>
      <c r="C525" s="368"/>
      <c r="D525" s="379">
        <v>50</v>
      </c>
      <c r="E525" s="66" t="s">
        <v>292</v>
      </c>
      <c r="F525" s="375"/>
      <c r="G525" s="79">
        <f t="shared" si="53"/>
        <v>0</v>
      </c>
      <c r="H525" s="375"/>
      <c r="I525" s="375"/>
      <c r="J525" s="375"/>
      <c r="K525" s="412"/>
      <c r="L525" s="21" t="s">
        <v>347</v>
      </c>
      <c r="M525" t="s">
        <v>346</v>
      </c>
      <c r="N525" t="s">
        <v>350</v>
      </c>
      <c r="O525" s="214" t="s">
        <v>349</v>
      </c>
      <c r="P525" s="214"/>
      <c r="Q525" s="214"/>
      <c r="R525" s="214"/>
      <c r="S525" s="123"/>
      <c r="T525" s="123"/>
    </row>
    <row r="526" spans="1:20" ht="51">
      <c r="A526" s="367">
        <f t="shared" si="54"/>
        <v>505</v>
      </c>
      <c r="B526" s="368"/>
      <c r="C526" s="368"/>
      <c r="D526" s="369"/>
      <c r="E526" s="425" t="s">
        <v>297</v>
      </c>
      <c r="F526" s="49">
        <f>+F528+F615</f>
        <v>0</v>
      </c>
      <c r="G526" s="50">
        <f t="shared" si="53"/>
        <v>9957</v>
      </c>
      <c r="H526" s="49">
        <f>+H528+H615</f>
        <v>1338</v>
      </c>
      <c r="I526" s="49">
        <f>+I528+I615</f>
        <v>8395</v>
      </c>
      <c r="J526" s="49">
        <f>+J528+J615</f>
        <v>223.99999999999994</v>
      </c>
      <c r="K526" s="124">
        <f>+K528+K615</f>
        <v>0</v>
      </c>
      <c r="L526" s="21"/>
      <c r="M526" s="169"/>
      <c r="N526" s="21"/>
      <c r="O526" s="123">
        <v>9936.83</v>
      </c>
      <c r="P526" s="123"/>
      <c r="Q526" s="123"/>
      <c r="R526" s="123"/>
      <c r="S526" s="123"/>
      <c r="T526" s="123"/>
    </row>
    <row r="527" spans="1:20" ht="12.75">
      <c r="A527" s="367"/>
      <c r="B527" s="368" t="s">
        <v>59</v>
      </c>
      <c r="C527" s="368" t="s">
        <v>60</v>
      </c>
      <c r="D527" s="86" t="s">
        <v>61</v>
      </c>
      <c r="E527" s="426"/>
      <c r="F527" s="49"/>
      <c r="G527" s="50">
        <f t="shared" si="53"/>
        <v>0</v>
      </c>
      <c r="H527" s="49"/>
      <c r="I527" s="49"/>
      <c r="J527" s="49"/>
      <c r="K527" s="124"/>
      <c r="L527" s="21"/>
      <c r="N527" s="21"/>
      <c r="O527" s="123"/>
      <c r="P527" s="123"/>
      <c r="Q527" s="123"/>
      <c r="R527" s="123"/>
      <c r="S527" s="123"/>
      <c r="T527" s="123"/>
    </row>
    <row r="528" spans="1:20" ht="12.75">
      <c r="A528" s="367">
        <f>A526+1</f>
        <v>506</v>
      </c>
      <c r="B528" s="368"/>
      <c r="C528" s="368"/>
      <c r="D528" s="369"/>
      <c r="E528" s="85" t="s">
        <v>136</v>
      </c>
      <c r="F528" s="49">
        <f>+F529+F563+F605+F608</f>
        <v>0</v>
      </c>
      <c r="G528" s="50">
        <f t="shared" si="53"/>
        <v>238.99999999999994</v>
      </c>
      <c r="H528" s="166">
        <f>+H529+H563+H605</f>
        <v>0</v>
      </c>
      <c r="I528" s="166">
        <f>+I529+I563+I605</f>
        <v>15</v>
      </c>
      <c r="J528" s="166">
        <f>+J529+J563+J605</f>
        <v>223.99999999999994</v>
      </c>
      <c r="K528" s="166">
        <f>+K529+K563+K605</f>
        <v>0</v>
      </c>
      <c r="L528" s="21"/>
      <c r="N528" s="21"/>
      <c r="O528" s="215"/>
      <c r="P528" s="215"/>
      <c r="Q528" s="216"/>
      <c r="R528" s="216"/>
      <c r="S528" s="219"/>
      <c r="T528" s="130"/>
    </row>
    <row r="529" spans="1:20" ht="12.75">
      <c r="A529" s="367">
        <f t="shared" si="54"/>
        <v>507</v>
      </c>
      <c r="B529" s="368"/>
      <c r="C529" s="368">
        <v>10</v>
      </c>
      <c r="D529" s="369"/>
      <c r="E529" s="85" t="s">
        <v>263</v>
      </c>
      <c r="F529" s="49">
        <f>+F530+F548+F555</f>
        <v>0</v>
      </c>
      <c r="G529" s="50">
        <f t="shared" si="53"/>
        <v>0</v>
      </c>
      <c r="H529" s="166">
        <f>+H530+H548+H555</f>
        <v>0</v>
      </c>
      <c r="I529" s="166">
        <f>+I530+I548+I555</f>
        <v>0</v>
      </c>
      <c r="J529" s="166">
        <f>+J530+J548+J555</f>
        <v>0</v>
      </c>
      <c r="K529" s="166">
        <f>+K530+K548+K555</f>
        <v>0</v>
      </c>
      <c r="L529" s="21"/>
      <c r="N529" s="21"/>
      <c r="O529" s="123"/>
      <c r="P529" s="123"/>
      <c r="Q529" s="232"/>
      <c r="R529" s="232"/>
      <c r="S529" s="219"/>
      <c r="T529" s="130"/>
    </row>
    <row r="530" spans="1:20" ht="12.75">
      <c r="A530" s="367">
        <f t="shared" si="54"/>
        <v>508</v>
      </c>
      <c r="B530" s="368"/>
      <c r="C530" s="377" t="s">
        <v>47</v>
      </c>
      <c r="D530" s="369"/>
      <c r="E530" s="85" t="s">
        <v>142</v>
      </c>
      <c r="F530" s="49">
        <f>+F531+F532+F533+F534+F535+F536+F537+F538+F539+F540+F541+F542+F543+F544+F545+F546+F547</f>
        <v>0</v>
      </c>
      <c r="G530" s="50">
        <f t="shared" si="53"/>
        <v>0</v>
      </c>
      <c r="H530" s="166">
        <f>+H531+H532+H533+H534+H535+H536+H537+H538+H539+H540+H541+H542+H543+H544+H545+H546+H547</f>
        <v>0</v>
      </c>
      <c r="I530" s="166">
        <f>+I531+I532+I533+I534+I535+I536+I537+I538+I539+I540+I541+I542+I543+I544+I545+I546+I547</f>
        <v>0</v>
      </c>
      <c r="J530" s="166">
        <f>+J531+J532+J533+J534+J535+J536+J537+J538+J539+J540+J541+J542+J543+J544+J545+J546+J547</f>
        <v>0</v>
      </c>
      <c r="K530" s="166">
        <f>+K531+K532+K533+K534+K535+K536+K537+K538+K539+K540+K541+K542+K543+K544+K545+K546+K547</f>
        <v>0</v>
      </c>
      <c r="L530" s="21"/>
      <c r="N530" s="21"/>
      <c r="O530" s="123"/>
      <c r="P530" s="123"/>
      <c r="Q530" s="232"/>
      <c r="R530" s="232"/>
      <c r="S530" s="220"/>
      <c r="T530" s="130"/>
    </row>
    <row r="531" spans="1:20" ht="12.75">
      <c r="A531" s="367">
        <f t="shared" si="54"/>
        <v>509</v>
      </c>
      <c r="B531" s="368"/>
      <c r="C531" s="368"/>
      <c r="D531" s="379" t="s">
        <v>47</v>
      </c>
      <c r="E531" s="66" t="s">
        <v>144</v>
      </c>
      <c r="F531" s="375"/>
      <c r="G531" s="79">
        <f t="shared" si="53"/>
        <v>0</v>
      </c>
      <c r="H531" s="77">
        <v>0</v>
      </c>
      <c r="I531" s="77">
        <v>0</v>
      </c>
      <c r="J531" s="77"/>
      <c r="K531" s="77"/>
      <c r="L531" s="21"/>
      <c r="N531" s="21"/>
      <c r="O531" s="123"/>
      <c r="P531" s="123"/>
      <c r="Q531" s="232"/>
      <c r="R531" s="232"/>
      <c r="S531" s="219"/>
      <c r="T531" s="221"/>
    </row>
    <row r="532" spans="1:20" ht="12.75">
      <c r="A532" s="367">
        <f t="shared" si="54"/>
        <v>510</v>
      </c>
      <c r="B532" s="368"/>
      <c r="C532" s="368"/>
      <c r="D532" s="379" t="s">
        <v>80</v>
      </c>
      <c r="E532" s="66" t="s">
        <v>146</v>
      </c>
      <c r="F532" s="375"/>
      <c r="G532" s="79">
        <f t="shared" si="53"/>
        <v>0</v>
      </c>
      <c r="H532" s="77">
        <v>0</v>
      </c>
      <c r="I532" s="77">
        <v>0</v>
      </c>
      <c r="J532" s="77"/>
      <c r="K532" s="77"/>
      <c r="L532" s="21"/>
      <c r="M532" s="21"/>
      <c r="N532" s="21"/>
      <c r="O532" s="123"/>
      <c r="P532" s="123"/>
      <c r="Q532" s="232"/>
      <c r="R532" s="232"/>
      <c r="S532" s="219"/>
      <c r="T532" s="221"/>
    </row>
    <row r="533" spans="1:20" ht="12.75">
      <c r="A533" s="367">
        <f t="shared" si="54"/>
        <v>511</v>
      </c>
      <c r="B533" s="368"/>
      <c r="C533" s="368"/>
      <c r="D533" s="379" t="s">
        <v>84</v>
      </c>
      <c r="E533" s="66" t="s">
        <v>148</v>
      </c>
      <c r="F533" s="375"/>
      <c r="G533" s="79">
        <f t="shared" si="53"/>
        <v>0</v>
      </c>
      <c r="H533" s="77">
        <v>0</v>
      </c>
      <c r="I533" s="77">
        <v>0</v>
      </c>
      <c r="J533" s="77"/>
      <c r="K533" s="77"/>
      <c r="L533" s="21"/>
      <c r="M533" s="21"/>
      <c r="N533" s="21"/>
      <c r="O533" s="123"/>
      <c r="P533" s="123"/>
      <c r="Q533" s="232"/>
      <c r="R533" s="232"/>
      <c r="S533" s="219"/>
      <c r="T533" s="221"/>
    </row>
    <row r="534" spans="1:20" ht="12.75">
      <c r="A534" s="367">
        <f t="shared" si="54"/>
        <v>512</v>
      </c>
      <c r="B534" s="368"/>
      <c r="C534" s="368"/>
      <c r="D534" s="379" t="s">
        <v>108</v>
      </c>
      <c r="E534" s="66" t="s">
        <v>150</v>
      </c>
      <c r="F534" s="375"/>
      <c r="G534" s="79">
        <f t="shared" si="53"/>
        <v>0</v>
      </c>
      <c r="H534" s="77">
        <v>0</v>
      </c>
      <c r="I534" s="77">
        <v>0</v>
      </c>
      <c r="J534" s="77"/>
      <c r="K534" s="77"/>
      <c r="L534" s="21"/>
      <c r="N534" s="21"/>
      <c r="O534" s="123"/>
      <c r="P534" s="123"/>
      <c r="Q534" s="232"/>
      <c r="R534" s="232"/>
      <c r="S534" s="219"/>
      <c r="T534" s="221"/>
    </row>
    <row r="535" spans="1:20" ht="12.75">
      <c r="A535" s="367">
        <f t="shared" si="54"/>
        <v>513</v>
      </c>
      <c r="B535" s="368"/>
      <c r="C535" s="368"/>
      <c r="D535" s="379" t="s">
        <v>41</v>
      </c>
      <c r="E535" s="66" t="s">
        <v>152</v>
      </c>
      <c r="F535" s="375"/>
      <c r="G535" s="79">
        <f t="shared" si="53"/>
        <v>0</v>
      </c>
      <c r="H535" s="77">
        <v>0</v>
      </c>
      <c r="I535" s="77">
        <v>0</v>
      </c>
      <c r="J535" s="77"/>
      <c r="K535" s="77"/>
      <c r="L535" s="21"/>
      <c r="N535" s="21"/>
      <c r="O535" s="123"/>
      <c r="P535" s="123"/>
      <c r="Q535" s="232"/>
      <c r="R535" s="232"/>
      <c r="S535" s="219"/>
      <c r="T535" s="221"/>
    </row>
    <row r="536" spans="1:20" ht="12.75">
      <c r="A536" s="367">
        <f t="shared" si="54"/>
        <v>514</v>
      </c>
      <c r="B536" s="368"/>
      <c r="C536" s="368"/>
      <c r="D536" s="379" t="s">
        <v>154</v>
      </c>
      <c r="E536" s="66" t="s">
        <v>155</v>
      </c>
      <c r="F536" s="375"/>
      <c r="G536" s="79">
        <f t="shared" si="53"/>
        <v>0</v>
      </c>
      <c r="H536" s="77">
        <v>0</v>
      </c>
      <c r="I536" s="77">
        <v>0</v>
      </c>
      <c r="J536" s="77"/>
      <c r="K536" s="77"/>
      <c r="L536" s="21"/>
      <c r="N536" s="21"/>
      <c r="O536" s="123"/>
      <c r="P536" s="123"/>
      <c r="Q536" s="232"/>
      <c r="R536" s="232"/>
      <c r="S536" s="219"/>
      <c r="T536" s="221"/>
    </row>
    <row r="537" spans="1:20" ht="12.75">
      <c r="A537" s="367">
        <f t="shared" si="54"/>
        <v>515</v>
      </c>
      <c r="B537" s="368"/>
      <c r="C537" s="368"/>
      <c r="D537" s="379" t="s">
        <v>157</v>
      </c>
      <c r="E537" s="66" t="s">
        <v>158</v>
      </c>
      <c r="F537" s="375"/>
      <c r="G537" s="79">
        <f t="shared" si="53"/>
        <v>0</v>
      </c>
      <c r="H537" s="77">
        <v>0</v>
      </c>
      <c r="I537" s="77">
        <v>0</v>
      </c>
      <c r="J537" s="77"/>
      <c r="K537" s="77"/>
      <c r="L537" s="21"/>
      <c r="N537" s="21"/>
      <c r="O537" s="123"/>
      <c r="P537" s="123"/>
      <c r="Q537" s="232"/>
      <c r="R537" s="232"/>
      <c r="S537" s="219"/>
      <c r="T537" s="221"/>
    </row>
    <row r="538" spans="1:20" ht="12.75">
      <c r="A538" s="367">
        <f t="shared" si="54"/>
        <v>516</v>
      </c>
      <c r="B538" s="368"/>
      <c r="C538" s="368"/>
      <c r="D538" s="379" t="s">
        <v>65</v>
      </c>
      <c r="E538" s="66" t="s">
        <v>159</v>
      </c>
      <c r="F538" s="375"/>
      <c r="G538" s="79">
        <f t="shared" si="53"/>
        <v>0</v>
      </c>
      <c r="H538" s="77">
        <v>0</v>
      </c>
      <c r="I538" s="77">
        <v>0</v>
      </c>
      <c r="J538" s="77"/>
      <c r="K538" s="77"/>
      <c r="L538" s="21"/>
      <c r="N538" s="21"/>
      <c r="O538" s="123"/>
      <c r="P538" s="123"/>
      <c r="Q538" s="232"/>
      <c r="R538" s="232"/>
      <c r="S538" s="219"/>
      <c r="T538" s="221"/>
    </row>
    <row r="539" spans="1:20" ht="12.75">
      <c r="A539" s="367">
        <f t="shared" si="54"/>
        <v>517</v>
      </c>
      <c r="B539" s="368"/>
      <c r="C539" s="368"/>
      <c r="D539" s="379" t="s">
        <v>160</v>
      </c>
      <c r="E539" s="66" t="s">
        <v>264</v>
      </c>
      <c r="F539" s="375"/>
      <c r="G539" s="79">
        <f t="shared" si="53"/>
        <v>0</v>
      </c>
      <c r="H539" s="77">
        <v>0</v>
      </c>
      <c r="I539" s="77">
        <v>0</v>
      </c>
      <c r="J539" s="77"/>
      <c r="K539" s="77"/>
      <c r="L539" s="21"/>
      <c r="N539" s="21"/>
      <c r="O539" s="123"/>
      <c r="P539" s="123"/>
      <c r="Q539" s="232"/>
      <c r="R539" s="232"/>
      <c r="S539" s="219"/>
      <c r="T539" s="221"/>
    </row>
    <row r="540" spans="1:20" ht="12.75">
      <c r="A540" s="367">
        <f t="shared" si="54"/>
        <v>518</v>
      </c>
      <c r="B540" s="368"/>
      <c r="C540" s="368"/>
      <c r="D540" s="369">
        <v>10</v>
      </c>
      <c r="E540" s="66" t="s">
        <v>162</v>
      </c>
      <c r="F540" s="375"/>
      <c r="G540" s="79">
        <f t="shared" si="53"/>
        <v>0</v>
      </c>
      <c r="H540" s="77">
        <v>0</v>
      </c>
      <c r="I540" s="77">
        <v>0</v>
      </c>
      <c r="J540" s="77"/>
      <c r="K540" s="77"/>
      <c r="L540" s="21"/>
      <c r="M540" s="21"/>
      <c r="N540" s="21"/>
      <c r="O540" s="123"/>
      <c r="P540" s="123"/>
      <c r="Q540" s="232"/>
      <c r="R540" s="232"/>
      <c r="S540" s="219"/>
      <c r="T540" s="130"/>
    </row>
    <row r="541" spans="1:20" ht="12.75">
      <c r="A541" s="367">
        <f t="shared" si="54"/>
        <v>519</v>
      </c>
      <c r="B541" s="368"/>
      <c r="C541" s="368"/>
      <c r="D541" s="369">
        <v>11</v>
      </c>
      <c r="E541" s="66" t="s">
        <v>163</v>
      </c>
      <c r="F541" s="375"/>
      <c r="G541" s="79">
        <f t="shared" si="53"/>
        <v>0</v>
      </c>
      <c r="H541" s="77">
        <v>0</v>
      </c>
      <c r="I541" s="77">
        <v>0</v>
      </c>
      <c r="J541" s="77"/>
      <c r="K541" s="77"/>
      <c r="L541" s="21"/>
      <c r="N541" s="21"/>
      <c r="O541" s="123"/>
      <c r="P541" s="123"/>
      <c r="Q541" s="232"/>
      <c r="R541" s="232"/>
      <c r="S541" s="219"/>
      <c r="T541" s="130"/>
    </row>
    <row r="542" spans="1:20" ht="12.75">
      <c r="A542" s="367">
        <f t="shared" si="54"/>
        <v>520</v>
      </c>
      <c r="B542" s="368"/>
      <c r="C542" s="368"/>
      <c r="D542" s="369">
        <v>12</v>
      </c>
      <c r="E542" s="66" t="s">
        <v>164</v>
      </c>
      <c r="F542" s="375"/>
      <c r="G542" s="79">
        <f t="shared" si="53"/>
        <v>0</v>
      </c>
      <c r="H542" s="77">
        <v>0</v>
      </c>
      <c r="I542" s="77">
        <v>0</v>
      </c>
      <c r="J542" s="77"/>
      <c r="K542" s="77"/>
      <c r="L542" s="21"/>
      <c r="N542" s="21"/>
      <c r="O542" s="123"/>
      <c r="P542" s="123"/>
      <c r="Q542" s="232"/>
      <c r="R542" s="232"/>
      <c r="S542" s="219"/>
      <c r="T542" s="130"/>
    </row>
    <row r="543" spans="1:20" ht="12.75">
      <c r="A543" s="367">
        <f t="shared" si="54"/>
        <v>521</v>
      </c>
      <c r="B543" s="368"/>
      <c r="C543" s="368"/>
      <c r="D543" s="369">
        <v>13</v>
      </c>
      <c r="E543" s="66" t="s">
        <v>165</v>
      </c>
      <c r="F543" s="375"/>
      <c r="G543" s="79">
        <f t="shared" si="53"/>
        <v>0</v>
      </c>
      <c r="H543" s="77">
        <v>0</v>
      </c>
      <c r="I543" s="77">
        <v>0</v>
      </c>
      <c r="J543" s="77"/>
      <c r="K543" s="77"/>
      <c r="L543" s="21"/>
      <c r="N543" s="21"/>
      <c r="O543" s="123"/>
      <c r="P543" s="123"/>
      <c r="Q543" s="232"/>
      <c r="R543" s="232"/>
      <c r="S543" s="219"/>
      <c r="T543" s="130"/>
    </row>
    <row r="544" spans="1:20" ht="12.75">
      <c r="A544" s="367">
        <f t="shared" si="54"/>
        <v>522</v>
      </c>
      <c r="B544" s="368"/>
      <c r="C544" s="368"/>
      <c r="D544" s="369">
        <v>14</v>
      </c>
      <c r="E544" s="66" t="s">
        <v>166</v>
      </c>
      <c r="F544" s="375"/>
      <c r="G544" s="79">
        <f t="shared" si="53"/>
        <v>0</v>
      </c>
      <c r="H544" s="77">
        <v>0</v>
      </c>
      <c r="I544" s="77">
        <v>0</v>
      </c>
      <c r="J544" s="77"/>
      <c r="K544" s="77"/>
      <c r="L544" s="21"/>
      <c r="N544" s="21"/>
      <c r="O544" s="123"/>
      <c r="P544" s="123"/>
      <c r="Q544" s="232"/>
      <c r="R544" s="232"/>
      <c r="S544" s="219"/>
      <c r="T544" s="130"/>
    </row>
    <row r="545" spans="1:20" ht="12.75">
      <c r="A545" s="367">
        <f aca="true" t="shared" si="56" ref="A545:A607">A544+1</f>
        <v>523</v>
      </c>
      <c r="B545" s="368"/>
      <c r="C545" s="368"/>
      <c r="D545" s="369">
        <v>15</v>
      </c>
      <c r="E545" s="66" t="s">
        <v>167</v>
      </c>
      <c r="F545" s="375"/>
      <c r="G545" s="79">
        <f aca="true" t="shared" si="57" ref="G545:G608">H545+I545+J545+K545</f>
        <v>0</v>
      </c>
      <c r="H545" s="77">
        <v>0</v>
      </c>
      <c r="I545" s="77">
        <v>0</v>
      </c>
      <c r="J545" s="77"/>
      <c r="K545" s="77"/>
      <c r="L545" s="21"/>
      <c r="N545" s="21"/>
      <c r="O545" s="123"/>
      <c r="P545" s="123"/>
      <c r="Q545" s="232"/>
      <c r="R545" s="232"/>
      <c r="S545" s="219"/>
      <c r="T545" s="130"/>
    </row>
    <row r="546" spans="1:20" ht="12.75">
      <c r="A546" s="367">
        <f t="shared" si="56"/>
        <v>524</v>
      </c>
      <c r="B546" s="368"/>
      <c r="C546" s="368"/>
      <c r="D546" s="369">
        <v>16</v>
      </c>
      <c r="E546" s="66" t="s">
        <v>168</v>
      </c>
      <c r="F546" s="375"/>
      <c r="G546" s="79">
        <f t="shared" si="57"/>
        <v>0</v>
      </c>
      <c r="H546" s="77">
        <v>0</v>
      </c>
      <c r="I546" s="77">
        <v>0</v>
      </c>
      <c r="J546" s="77"/>
      <c r="K546" s="77"/>
      <c r="L546" s="21"/>
      <c r="N546" s="21"/>
      <c r="O546" s="123"/>
      <c r="P546" s="123"/>
      <c r="Q546" s="232"/>
      <c r="R546" s="232"/>
      <c r="S546" s="219"/>
      <c r="T546" s="130"/>
    </row>
    <row r="547" spans="1:20" ht="12.75">
      <c r="A547" s="367">
        <f t="shared" si="56"/>
        <v>525</v>
      </c>
      <c r="B547" s="368"/>
      <c r="C547" s="368"/>
      <c r="D547" s="369">
        <v>30</v>
      </c>
      <c r="E547" s="66" t="s">
        <v>169</v>
      </c>
      <c r="F547" s="375"/>
      <c r="G547" s="79">
        <f t="shared" si="57"/>
        <v>0</v>
      </c>
      <c r="H547" s="77">
        <v>0</v>
      </c>
      <c r="I547" s="77">
        <v>0</v>
      </c>
      <c r="J547" s="77"/>
      <c r="K547" s="77"/>
      <c r="L547" s="21"/>
      <c r="N547" s="21"/>
      <c r="O547" s="123"/>
      <c r="P547" s="123"/>
      <c r="Q547" s="232"/>
      <c r="R547" s="232"/>
      <c r="S547" s="219"/>
      <c r="T547" s="130"/>
    </row>
    <row r="548" spans="1:20" ht="12.75">
      <c r="A548" s="367">
        <f t="shared" si="56"/>
        <v>526</v>
      </c>
      <c r="B548" s="368"/>
      <c r="C548" s="377" t="s">
        <v>80</v>
      </c>
      <c r="D548" s="369"/>
      <c r="E548" s="85" t="s">
        <v>170</v>
      </c>
      <c r="F548" s="49">
        <f>+F549+F550+F551+F552+F553+F554</f>
        <v>0</v>
      </c>
      <c r="G548" s="50">
        <f t="shared" si="57"/>
        <v>0</v>
      </c>
      <c r="H548" s="166">
        <f>+H549+H550+H551+H552+H553+H554</f>
        <v>0</v>
      </c>
      <c r="I548" s="166">
        <f>+I549+I550+I551+I552+I553+I554</f>
        <v>0</v>
      </c>
      <c r="J548" s="166">
        <f>+J549+J550+J551+J552+J553+J554</f>
        <v>0</v>
      </c>
      <c r="K548" s="166">
        <f>+K549+K550+K551+K552+K553+K554</f>
        <v>0</v>
      </c>
      <c r="L548" s="21"/>
      <c r="N548" s="21"/>
      <c r="O548" s="123"/>
      <c r="P548" s="123"/>
      <c r="Q548" s="232"/>
      <c r="R548" s="232"/>
      <c r="S548" s="220"/>
      <c r="T548" s="130"/>
    </row>
    <row r="549" spans="1:20" ht="12.75">
      <c r="A549" s="367">
        <f t="shared" si="56"/>
        <v>527</v>
      </c>
      <c r="B549" s="368"/>
      <c r="C549" s="368"/>
      <c r="D549" s="379" t="s">
        <v>47</v>
      </c>
      <c r="E549" s="66" t="s">
        <v>265</v>
      </c>
      <c r="F549" s="375"/>
      <c r="G549" s="79">
        <f t="shared" si="57"/>
        <v>0</v>
      </c>
      <c r="H549" s="77">
        <v>0</v>
      </c>
      <c r="I549" s="77">
        <v>0</v>
      </c>
      <c r="J549" s="77"/>
      <c r="K549" s="77"/>
      <c r="L549" s="21"/>
      <c r="N549" s="21"/>
      <c r="O549" s="123"/>
      <c r="P549" s="123"/>
      <c r="Q549" s="232"/>
      <c r="R549" s="232"/>
      <c r="S549" s="219"/>
      <c r="T549" s="221"/>
    </row>
    <row r="550" spans="1:20" ht="12.75">
      <c r="A550" s="367">
        <f t="shared" si="56"/>
        <v>528</v>
      </c>
      <c r="B550" s="368"/>
      <c r="C550" s="368"/>
      <c r="D550" s="379" t="s">
        <v>80</v>
      </c>
      <c r="E550" s="66" t="s">
        <v>266</v>
      </c>
      <c r="F550" s="375"/>
      <c r="G550" s="79">
        <f t="shared" si="57"/>
        <v>0</v>
      </c>
      <c r="H550" s="77">
        <v>0</v>
      </c>
      <c r="I550" s="77">
        <v>0</v>
      </c>
      <c r="J550" s="77"/>
      <c r="K550" s="77"/>
      <c r="L550" s="21"/>
      <c r="N550" s="21"/>
      <c r="O550" s="123"/>
      <c r="P550" s="123"/>
      <c r="Q550" s="232"/>
      <c r="R550" s="232"/>
      <c r="S550" s="219"/>
      <c r="T550" s="221"/>
    </row>
    <row r="551" spans="1:20" ht="12.75">
      <c r="A551" s="367">
        <f t="shared" si="56"/>
        <v>529</v>
      </c>
      <c r="B551" s="368"/>
      <c r="C551" s="368"/>
      <c r="D551" s="379" t="s">
        <v>84</v>
      </c>
      <c r="E551" s="66" t="s">
        <v>173</v>
      </c>
      <c r="F551" s="375"/>
      <c r="G551" s="79">
        <f t="shared" si="57"/>
        <v>0</v>
      </c>
      <c r="H551" s="77">
        <v>0</v>
      </c>
      <c r="I551" s="77">
        <v>0</v>
      </c>
      <c r="J551" s="77"/>
      <c r="K551" s="77"/>
      <c r="L551" s="21"/>
      <c r="N551" s="21"/>
      <c r="O551" s="123"/>
      <c r="P551" s="123"/>
      <c r="Q551" s="232"/>
      <c r="R551" s="232"/>
      <c r="S551" s="219"/>
      <c r="T551" s="221"/>
    </row>
    <row r="552" spans="1:20" ht="12.75">
      <c r="A552" s="367">
        <f t="shared" si="56"/>
        <v>530</v>
      </c>
      <c r="B552" s="368"/>
      <c r="C552" s="368"/>
      <c r="D552" s="379" t="s">
        <v>108</v>
      </c>
      <c r="E552" s="66" t="s">
        <v>267</v>
      </c>
      <c r="F552" s="375"/>
      <c r="G552" s="79">
        <f t="shared" si="57"/>
        <v>0</v>
      </c>
      <c r="H552" s="77">
        <v>0</v>
      </c>
      <c r="I552" s="77">
        <v>0</v>
      </c>
      <c r="J552" s="77"/>
      <c r="K552" s="77"/>
      <c r="L552" s="21"/>
      <c r="N552" s="21"/>
      <c r="O552" s="123"/>
      <c r="P552" s="123"/>
      <c r="Q552" s="232"/>
      <c r="R552" s="232"/>
      <c r="S552" s="219"/>
      <c r="T552" s="221"/>
    </row>
    <row r="553" spans="1:20" ht="12.75">
      <c r="A553" s="367">
        <f t="shared" si="56"/>
        <v>531</v>
      </c>
      <c r="B553" s="368"/>
      <c r="C553" s="368"/>
      <c r="D553" s="379" t="s">
        <v>41</v>
      </c>
      <c r="E553" s="66" t="s">
        <v>268</v>
      </c>
      <c r="F553" s="375"/>
      <c r="G553" s="79">
        <f t="shared" si="57"/>
        <v>0</v>
      </c>
      <c r="H553" s="77">
        <v>0</v>
      </c>
      <c r="I553" s="77">
        <v>0</v>
      </c>
      <c r="J553" s="77"/>
      <c r="K553" s="77"/>
      <c r="L553" s="21"/>
      <c r="N553" s="21"/>
      <c r="O553" s="123"/>
      <c r="P553" s="123"/>
      <c r="Q553" s="232"/>
      <c r="R553" s="232"/>
      <c r="S553" s="219"/>
      <c r="T553" s="221"/>
    </row>
    <row r="554" spans="1:20" ht="12.75">
      <c r="A554" s="367">
        <f t="shared" si="56"/>
        <v>532</v>
      </c>
      <c r="B554" s="368"/>
      <c r="C554" s="368"/>
      <c r="D554" s="369">
        <v>30</v>
      </c>
      <c r="E554" s="66" t="s">
        <v>176</v>
      </c>
      <c r="F554" s="375"/>
      <c r="G554" s="79">
        <f t="shared" si="57"/>
        <v>0</v>
      </c>
      <c r="H554" s="77">
        <v>0</v>
      </c>
      <c r="I554" s="77">
        <v>0</v>
      </c>
      <c r="J554" s="77"/>
      <c r="K554" s="77"/>
      <c r="L554" s="21"/>
      <c r="N554" s="21"/>
      <c r="O554" s="123"/>
      <c r="P554" s="123"/>
      <c r="Q554" s="232"/>
      <c r="R554" s="232"/>
      <c r="S554" s="219"/>
      <c r="T554" s="130"/>
    </row>
    <row r="555" spans="1:20" ht="12.75">
      <c r="A555" s="367">
        <f t="shared" si="56"/>
        <v>533</v>
      </c>
      <c r="B555" s="368"/>
      <c r="C555" s="377" t="s">
        <v>84</v>
      </c>
      <c r="D555" s="369"/>
      <c r="E555" s="85" t="s">
        <v>177</v>
      </c>
      <c r="F555" s="49">
        <f>+F556+F557+F558+F559+F560+F561+F562</f>
        <v>0</v>
      </c>
      <c r="G555" s="50">
        <f t="shared" si="57"/>
        <v>0</v>
      </c>
      <c r="H555" s="166">
        <f>+H556+H557+H558+H559+H560+H561+H562</f>
        <v>0</v>
      </c>
      <c r="I555" s="166">
        <f>+I556+I557+I558+I559+I560+I561+I562</f>
        <v>0</v>
      </c>
      <c r="J555" s="166">
        <f>+J556+J557+J558+J559+J560+J561+J562</f>
        <v>0</v>
      </c>
      <c r="K555" s="166">
        <f>+K556+K557+K558+K559+K560+K561+K562</f>
        <v>0</v>
      </c>
      <c r="L555" s="21"/>
      <c r="N555" s="21"/>
      <c r="O555" s="123"/>
      <c r="P555" s="123"/>
      <c r="Q555" s="232"/>
      <c r="R555" s="232"/>
      <c r="S555" s="220"/>
      <c r="T555" s="130"/>
    </row>
    <row r="556" spans="1:20" ht="12.75">
      <c r="A556" s="367">
        <f t="shared" si="56"/>
        <v>534</v>
      </c>
      <c r="B556" s="368"/>
      <c r="C556" s="368"/>
      <c r="D556" s="379" t="s">
        <v>47</v>
      </c>
      <c r="E556" s="66" t="s">
        <v>178</v>
      </c>
      <c r="F556" s="375"/>
      <c r="G556" s="79">
        <f t="shared" si="57"/>
        <v>0</v>
      </c>
      <c r="H556" s="77"/>
      <c r="I556" s="77"/>
      <c r="J556" s="77"/>
      <c r="K556" s="77"/>
      <c r="L556" s="21"/>
      <c r="N556" s="21"/>
      <c r="O556" s="123"/>
      <c r="P556" s="123"/>
      <c r="Q556" s="232"/>
      <c r="R556" s="232"/>
      <c r="S556" s="219"/>
      <c r="T556" s="221"/>
    </row>
    <row r="557" spans="1:20" ht="12.75">
      <c r="A557" s="367">
        <f t="shared" si="56"/>
        <v>535</v>
      </c>
      <c r="B557" s="368"/>
      <c r="C557" s="368"/>
      <c r="D557" s="379" t="s">
        <v>80</v>
      </c>
      <c r="E557" s="66" t="s">
        <v>179</v>
      </c>
      <c r="F557" s="375"/>
      <c r="G557" s="79">
        <f t="shared" si="57"/>
        <v>0</v>
      </c>
      <c r="H557" s="77"/>
      <c r="I557" s="77"/>
      <c r="J557" s="77"/>
      <c r="K557" s="77"/>
      <c r="L557" s="21"/>
      <c r="N557" s="21"/>
      <c r="O557" s="123"/>
      <c r="P557" s="123"/>
      <c r="Q557" s="232"/>
      <c r="R557" s="232"/>
      <c r="S557" s="219"/>
      <c r="T557" s="221"/>
    </row>
    <row r="558" spans="1:20" ht="12.75">
      <c r="A558" s="367">
        <f t="shared" si="56"/>
        <v>536</v>
      </c>
      <c r="B558" s="368"/>
      <c r="C558" s="368"/>
      <c r="D558" s="379" t="s">
        <v>84</v>
      </c>
      <c r="E558" s="66" t="s">
        <v>180</v>
      </c>
      <c r="F558" s="375"/>
      <c r="G558" s="79">
        <f t="shared" si="57"/>
        <v>0</v>
      </c>
      <c r="H558" s="77"/>
      <c r="I558" s="77"/>
      <c r="J558" s="77"/>
      <c r="K558" s="77"/>
      <c r="L558" s="21"/>
      <c r="N558" s="21"/>
      <c r="O558" s="123"/>
      <c r="P558" s="123"/>
      <c r="Q558" s="232"/>
      <c r="R558" s="232"/>
      <c r="S558" s="219"/>
      <c r="T558" s="221"/>
    </row>
    <row r="559" spans="1:20" ht="12.75">
      <c r="A559" s="367">
        <f t="shared" si="56"/>
        <v>537</v>
      </c>
      <c r="B559" s="368"/>
      <c r="C559" s="368"/>
      <c r="D559" s="379" t="s">
        <v>108</v>
      </c>
      <c r="E559" s="66" t="s">
        <v>269</v>
      </c>
      <c r="F559" s="375"/>
      <c r="G559" s="79">
        <f t="shared" si="57"/>
        <v>0</v>
      </c>
      <c r="H559" s="77"/>
      <c r="I559" s="77"/>
      <c r="J559" s="77"/>
      <c r="K559" s="77"/>
      <c r="L559" s="21"/>
      <c r="N559" s="21"/>
      <c r="O559" s="123"/>
      <c r="P559" s="123"/>
      <c r="Q559" s="232"/>
      <c r="R559" s="232"/>
      <c r="S559" s="219"/>
      <c r="T559" s="221"/>
    </row>
    <row r="560" spans="1:20" ht="12.75">
      <c r="A560" s="367">
        <f t="shared" si="56"/>
        <v>538</v>
      </c>
      <c r="B560" s="368"/>
      <c r="C560" s="368"/>
      <c r="D560" s="379" t="s">
        <v>41</v>
      </c>
      <c r="E560" s="66" t="s">
        <v>182</v>
      </c>
      <c r="F560" s="375"/>
      <c r="G560" s="79">
        <f t="shared" si="57"/>
        <v>0</v>
      </c>
      <c r="H560" s="77"/>
      <c r="I560" s="77"/>
      <c r="J560" s="77"/>
      <c r="K560" s="77"/>
      <c r="L560" s="21"/>
      <c r="N560" s="21"/>
      <c r="O560" s="123"/>
      <c r="P560" s="123"/>
      <c r="Q560" s="232"/>
      <c r="R560" s="232"/>
      <c r="S560" s="219"/>
      <c r="T560" s="221"/>
    </row>
    <row r="561" spans="1:20" ht="12.75">
      <c r="A561" s="367">
        <f t="shared" si="56"/>
        <v>539</v>
      </c>
      <c r="B561" s="368"/>
      <c r="C561" s="368"/>
      <c r="D561" s="379" t="s">
        <v>154</v>
      </c>
      <c r="E561" s="66" t="s">
        <v>183</v>
      </c>
      <c r="F561" s="375"/>
      <c r="G561" s="79">
        <f t="shared" si="57"/>
        <v>0</v>
      </c>
      <c r="H561" s="77"/>
      <c r="I561" s="77"/>
      <c r="J561" s="77"/>
      <c r="K561" s="77"/>
      <c r="L561" s="21"/>
      <c r="M561" s="167"/>
      <c r="N561" s="21"/>
      <c r="O561" s="123"/>
      <c r="P561" s="123"/>
      <c r="Q561" s="232"/>
      <c r="R561" s="232"/>
      <c r="S561" s="219"/>
      <c r="T561" s="221"/>
    </row>
    <row r="562" spans="1:20" ht="12.75">
      <c r="A562" s="367">
        <f t="shared" si="56"/>
        <v>540</v>
      </c>
      <c r="B562" s="368"/>
      <c r="C562" s="368"/>
      <c r="D562" s="379" t="s">
        <v>157</v>
      </c>
      <c r="E562" s="66" t="s">
        <v>184</v>
      </c>
      <c r="F562" s="375"/>
      <c r="G562" s="79">
        <f t="shared" si="57"/>
        <v>0</v>
      </c>
      <c r="H562" s="77">
        <v>0</v>
      </c>
      <c r="I562" s="77">
        <v>0</v>
      </c>
      <c r="J562" s="77"/>
      <c r="K562" s="77"/>
      <c r="L562" s="21"/>
      <c r="N562" s="21"/>
      <c r="O562" s="123"/>
      <c r="P562" s="123"/>
      <c r="Q562" s="232"/>
      <c r="R562" s="232"/>
      <c r="S562" s="219"/>
      <c r="T562" s="221"/>
    </row>
    <row r="563" spans="1:20" ht="12.75">
      <c r="A563" s="367">
        <f t="shared" si="56"/>
        <v>541</v>
      </c>
      <c r="B563" s="368"/>
      <c r="C563" s="368">
        <v>20</v>
      </c>
      <c r="D563" s="369"/>
      <c r="E563" s="85" t="s">
        <v>298</v>
      </c>
      <c r="F563" s="49">
        <f>+F564+F575+F576+F579+F584+F588+F591+F592+F593+F594+F595+F596+F597+F599</f>
        <v>0</v>
      </c>
      <c r="G563" s="50">
        <f t="shared" si="57"/>
        <v>238.99999999999994</v>
      </c>
      <c r="H563" s="166">
        <f>+H564+H575+H576+H579+H584+H588+H591+H592+H593+H594+H595+H596+H597+H599</f>
        <v>0</v>
      </c>
      <c r="I563" s="166">
        <f>+I564+I575+I576+I579+I584+I588+I591+I592+I593+I594+I595+I596+I597+I599</f>
        <v>15</v>
      </c>
      <c r="J563" s="166">
        <f>+J564+J575+J576+J579+J584+J588+J591+J592+J593+J594+J595+J596+J597+J599</f>
        <v>223.99999999999994</v>
      </c>
      <c r="K563" s="166">
        <f>+K564+K575+K576+K579+K584+K588+K591+K592+K593+K594+K595+K596+K597+K599</f>
        <v>0</v>
      </c>
      <c r="L563" s="21"/>
      <c r="N563" s="21"/>
      <c r="O563" s="214">
        <v>223.03</v>
      </c>
      <c r="P563" s="214"/>
      <c r="Q563" s="216"/>
      <c r="R563" s="216"/>
      <c r="S563" s="219"/>
      <c r="T563" s="130"/>
    </row>
    <row r="564" spans="1:20" ht="12.75">
      <c r="A564" s="367">
        <f t="shared" si="56"/>
        <v>542</v>
      </c>
      <c r="B564" s="368"/>
      <c r="C564" s="377" t="s">
        <v>47</v>
      </c>
      <c r="D564" s="369"/>
      <c r="E564" s="85" t="s">
        <v>130</v>
      </c>
      <c r="F564" s="49">
        <f>+F565+F566+F567+F568+F569+F570+F571+F572+F573+F574</f>
        <v>0</v>
      </c>
      <c r="G564" s="50">
        <f t="shared" si="57"/>
        <v>138.11999999999998</v>
      </c>
      <c r="H564" s="166">
        <f>+H565+H566+H567+H568+H569+H570+H571+H572+H573+H574</f>
        <v>0</v>
      </c>
      <c r="I564" s="166">
        <f>+I565+I566+I567+I568+I569+I570+I571+I572+I573+I574</f>
        <v>0</v>
      </c>
      <c r="J564" s="166">
        <f>+J565+J566+J567+J568+J569+J570+J571+J572+J573+J574</f>
        <v>138.11999999999998</v>
      </c>
      <c r="K564" s="166">
        <f>+K565+K566+K567+K568+K569+K570+K571+K572+K573+K574</f>
        <v>0</v>
      </c>
      <c r="L564" s="21"/>
      <c r="M564" s="167"/>
      <c r="N564" s="21"/>
      <c r="O564" s="123">
        <v>136.96</v>
      </c>
      <c r="P564" s="123"/>
      <c r="Q564" s="232"/>
      <c r="R564" s="232"/>
      <c r="S564" s="220"/>
      <c r="T564" s="130"/>
    </row>
    <row r="565" spans="1:20" ht="12.75">
      <c r="A565" s="367">
        <f t="shared" si="56"/>
        <v>543</v>
      </c>
      <c r="B565" s="368"/>
      <c r="C565" s="368"/>
      <c r="D565" s="379" t="s">
        <v>47</v>
      </c>
      <c r="E565" s="66" t="s">
        <v>186</v>
      </c>
      <c r="F565" s="375"/>
      <c r="G565" s="79">
        <f t="shared" si="57"/>
        <v>4.88</v>
      </c>
      <c r="H565" s="77"/>
      <c r="I565" s="77"/>
      <c r="J565" s="77">
        <v>4.88</v>
      </c>
      <c r="K565" s="77"/>
      <c r="L565" s="21">
        <v>4.88</v>
      </c>
      <c r="M565" s="167">
        <f>L565-G565</f>
        <v>0</v>
      </c>
      <c r="N565" s="21">
        <f>J565+M565</f>
        <v>4.88</v>
      </c>
      <c r="O565" s="123">
        <v>4.84</v>
      </c>
      <c r="P565" s="123"/>
      <c r="Q565" s="232"/>
      <c r="R565" s="232"/>
      <c r="S565" s="219"/>
      <c r="T565" s="221"/>
    </row>
    <row r="566" spans="1:20" ht="12.75">
      <c r="A566" s="367">
        <f t="shared" si="56"/>
        <v>544</v>
      </c>
      <c r="B566" s="368"/>
      <c r="C566" s="368"/>
      <c r="D566" s="379" t="s">
        <v>80</v>
      </c>
      <c r="E566" s="66" t="s">
        <v>187</v>
      </c>
      <c r="F566" s="375"/>
      <c r="G566" s="79">
        <f t="shared" si="57"/>
        <v>0</v>
      </c>
      <c r="H566" s="77"/>
      <c r="I566" s="77"/>
      <c r="J566" s="77"/>
      <c r="K566" s="77"/>
      <c r="L566" s="21"/>
      <c r="M566" s="167">
        <f aca="true" t="shared" si="58" ref="M566:M590">L566-G566</f>
        <v>0</v>
      </c>
      <c r="N566" s="21">
        <f aca="true" t="shared" si="59" ref="N566:N590">J566+M566</f>
        <v>0</v>
      </c>
      <c r="O566" s="123"/>
      <c r="P566" s="123"/>
      <c r="Q566" s="232"/>
      <c r="R566" s="232"/>
      <c r="S566" s="219"/>
      <c r="T566" s="221"/>
    </row>
    <row r="567" spans="1:20" ht="12.75">
      <c r="A567" s="367">
        <f t="shared" si="56"/>
        <v>545</v>
      </c>
      <c r="B567" s="368"/>
      <c r="C567" s="368"/>
      <c r="D567" s="379" t="s">
        <v>84</v>
      </c>
      <c r="E567" s="66" t="s">
        <v>188</v>
      </c>
      <c r="F567" s="375"/>
      <c r="G567" s="79">
        <f t="shared" si="57"/>
        <v>0</v>
      </c>
      <c r="H567" s="77"/>
      <c r="I567" s="77"/>
      <c r="J567" s="77"/>
      <c r="K567" s="77"/>
      <c r="L567" s="21"/>
      <c r="M567" s="167">
        <f t="shared" si="58"/>
        <v>0</v>
      </c>
      <c r="N567" s="21">
        <f t="shared" si="59"/>
        <v>0</v>
      </c>
      <c r="O567" s="123"/>
      <c r="P567" s="123"/>
      <c r="Q567" s="232"/>
      <c r="R567" s="232"/>
      <c r="S567" s="219"/>
      <c r="T567" s="221"/>
    </row>
    <row r="568" spans="1:20" ht="12.75">
      <c r="A568" s="367">
        <f t="shared" si="56"/>
        <v>546</v>
      </c>
      <c r="B568" s="368"/>
      <c r="C568" s="368"/>
      <c r="D568" s="379" t="s">
        <v>108</v>
      </c>
      <c r="E568" s="66" t="s">
        <v>189</v>
      </c>
      <c r="F568" s="375"/>
      <c r="G568" s="79">
        <f t="shared" si="57"/>
        <v>0</v>
      </c>
      <c r="H568" s="77"/>
      <c r="I568" s="77"/>
      <c r="J568" s="77"/>
      <c r="K568" s="77"/>
      <c r="L568" s="21"/>
      <c r="M568" s="167">
        <f t="shared" si="58"/>
        <v>0</v>
      </c>
      <c r="N568" s="21">
        <f t="shared" si="59"/>
        <v>0</v>
      </c>
      <c r="O568" s="123"/>
      <c r="P568" s="123"/>
      <c r="Q568" s="232"/>
      <c r="R568" s="232"/>
      <c r="S568" s="219"/>
      <c r="T568" s="221"/>
    </row>
    <row r="569" spans="1:20" ht="12.75">
      <c r="A569" s="367">
        <f t="shared" si="56"/>
        <v>547</v>
      </c>
      <c r="B569" s="368"/>
      <c r="C569" s="368"/>
      <c r="D569" s="379" t="s">
        <v>41</v>
      </c>
      <c r="E569" s="66" t="s">
        <v>190</v>
      </c>
      <c r="F569" s="375"/>
      <c r="G569" s="79">
        <f t="shared" si="57"/>
        <v>0</v>
      </c>
      <c r="H569" s="77"/>
      <c r="I569" s="77"/>
      <c r="J569" s="77"/>
      <c r="K569" s="77"/>
      <c r="L569" s="21"/>
      <c r="M569" s="167">
        <f t="shared" si="58"/>
        <v>0</v>
      </c>
      <c r="N569" s="21">
        <f t="shared" si="59"/>
        <v>0</v>
      </c>
      <c r="O569" s="123"/>
      <c r="P569" s="123"/>
      <c r="Q569" s="232"/>
      <c r="R569" s="232"/>
      <c r="S569" s="219"/>
      <c r="T569" s="221"/>
    </row>
    <row r="570" spans="1:20" ht="12.75">
      <c r="A570" s="367">
        <f t="shared" si="56"/>
        <v>548</v>
      </c>
      <c r="B570" s="368"/>
      <c r="C570" s="368"/>
      <c r="D570" s="379" t="s">
        <v>154</v>
      </c>
      <c r="E570" s="66" t="s">
        <v>191</v>
      </c>
      <c r="F570" s="375"/>
      <c r="G570" s="79">
        <f t="shared" si="57"/>
        <v>127.1</v>
      </c>
      <c r="H570" s="77"/>
      <c r="I570" s="77"/>
      <c r="J570" s="77">
        <v>127.1</v>
      </c>
      <c r="K570" s="77"/>
      <c r="L570" s="21">
        <v>127.1</v>
      </c>
      <c r="M570" s="167">
        <f t="shared" si="58"/>
        <v>0</v>
      </c>
      <c r="N570" s="21">
        <f t="shared" si="59"/>
        <v>127.1</v>
      </c>
      <c r="O570" s="123">
        <v>125.98</v>
      </c>
      <c r="P570" s="123"/>
      <c r="Q570" s="232"/>
      <c r="R570" s="232"/>
      <c r="S570" s="219"/>
      <c r="T570" s="221"/>
    </row>
    <row r="571" spans="1:20" ht="12.75">
      <c r="A571" s="367">
        <f t="shared" si="56"/>
        <v>549</v>
      </c>
      <c r="B571" s="368"/>
      <c r="C571" s="368"/>
      <c r="D571" s="379" t="s">
        <v>157</v>
      </c>
      <c r="E571" s="66" t="s">
        <v>192</v>
      </c>
      <c r="F571" s="375"/>
      <c r="G571" s="79">
        <f t="shared" si="57"/>
        <v>0</v>
      </c>
      <c r="H571" s="77"/>
      <c r="I571" s="77"/>
      <c r="J571" s="77"/>
      <c r="K571" s="77"/>
      <c r="L571" s="21"/>
      <c r="M571" s="167">
        <f t="shared" si="58"/>
        <v>0</v>
      </c>
      <c r="N571" s="21">
        <f t="shared" si="59"/>
        <v>0</v>
      </c>
      <c r="O571" s="123"/>
      <c r="P571" s="123"/>
      <c r="Q571" s="232"/>
      <c r="R571" s="232"/>
      <c r="S571" s="219"/>
      <c r="T571" s="221"/>
    </row>
    <row r="572" spans="1:20" ht="12.75">
      <c r="A572" s="367">
        <f t="shared" si="56"/>
        <v>550</v>
      </c>
      <c r="B572" s="368"/>
      <c r="C572" s="368"/>
      <c r="D572" s="379" t="s">
        <v>65</v>
      </c>
      <c r="E572" s="66" t="s">
        <v>193</v>
      </c>
      <c r="F572" s="375"/>
      <c r="G572" s="79">
        <f t="shared" si="57"/>
        <v>0</v>
      </c>
      <c r="H572" s="77"/>
      <c r="I572" s="77"/>
      <c r="J572" s="77"/>
      <c r="K572" s="77"/>
      <c r="L572" s="21"/>
      <c r="M572" s="167">
        <f t="shared" si="58"/>
        <v>0</v>
      </c>
      <c r="N572" s="21">
        <f t="shared" si="59"/>
        <v>0</v>
      </c>
      <c r="O572" s="123"/>
      <c r="P572" s="123"/>
      <c r="Q572" s="232"/>
      <c r="R572" s="232"/>
      <c r="S572" s="219"/>
      <c r="T572" s="221"/>
    </row>
    <row r="573" spans="1:20" ht="12.75">
      <c r="A573" s="367">
        <f t="shared" si="56"/>
        <v>551</v>
      </c>
      <c r="B573" s="368"/>
      <c r="C573" s="368"/>
      <c r="D573" s="379" t="s">
        <v>160</v>
      </c>
      <c r="E573" s="66" t="s">
        <v>194</v>
      </c>
      <c r="F573" s="375"/>
      <c r="G573" s="79">
        <f t="shared" si="57"/>
        <v>0</v>
      </c>
      <c r="H573" s="77"/>
      <c r="I573" s="77"/>
      <c r="J573" s="77"/>
      <c r="K573" s="77"/>
      <c r="L573" s="21"/>
      <c r="M573" s="167">
        <f t="shared" si="58"/>
        <v>0</v>
      </c>
      <c r="N573" s="21">
        <f t="shared" si="59"/>
        <v>0</v>
      </c>
      <c r="O573" s="123"/>
      <c r="P573" s="123"/>
      <c r="Q573" s="232"/>
      <c r="R573" s="232"/>
      <c r="S573" s="219"/>
      <c r="T573" s="221"/>
    </row>
    <row r="574" spans="1:20" ht="12.75">
      <c r="A574" s="367">
        <f t="shared" si="56"/>
        <v>552</v>
      </c>
      <c r="B574" s="368"/>
      <c r="C574" s="368"/>
      <c r="D574" s="369">
        <v>30</v>
      </c>
      <c r="E574" s="66" t="s">
        <v>271</v>
      </c>
      <c r="F574" s="375"/>
      <c r="G574" s="79">
        <f t="shared" si="57"/>
        <v>6.14</v>
      </c>
      <c r="H574" s="77">
        <v>0</v>
      </c>
      <c r="I574" s="77"/>
      <c r="J574" s="77">
        <v>6.14</v>
      </c>
      <c r="K574" s="77"/>
      <c r="L574" s="21">
        <v>6.14</v>
      </c>
      <c r="M574" s="167">
        <f t="shared" si="58"/>
        <v>0</v>
      </c>
      <c r="N574" s="21">
        <f t="shared" si="59"/>
        <v>6.14</v>
      </c>
      <c r="O574" s="123">
        <v>6.14</v>
      </c>
      <c r="P574" s="123"/>
      <c r="Q574" s="232"/>
      <c r="R574" s="232"/>
      <c r="S574" s="219"/>
      <c r="T574" s="130"/>
    </row>
    <row r="575" spans="1:20" ht="12.75">
      <c r="A575" s="367">
        <f t="shared" si="56"/>
        <v>553</v>
      </c>
      <c r="B575" s="368"/>
      <c r="C575" s="377" t="s">
        <v>80</v>
      </c>
      <c r="D575" s="86"/>
      <c r="E575" s="59" t="s">
        <v>196</v>
      </c>
      <c r="F575" s="375"/>
      <c r="G575" s="49">
        <f t="shared" si="57"/>
        <v>2.64</v>
      </c>
      <c r="H575" s="467"/>
      <c r="I575" s="467">
        <v>0</v>
      </c>
      <c r="J575" s="467">
        <v>2.64</v>
      </c>
      <c r="K575" s="467">
        <v>0</v>
      </c>
      <c r="L575" s="21">
        <v>2.64</v>
      </c>
      <c r="M575" s="167">
        <f t="shared" si="58"/>
        <v>0</v>
      </c>
      <c r="N575" s="21">
        <f t="shared" si="59"/>
        <v>2.64</v>
      </c>
      <c r="O575" s="123">
        <v>2.64</v>
      </c>
      <c r="P575" s="123"/>
      <c r="Q575" s="232"/>
      <c r="R575" s="232"/>
      <c r="S575" s="220"/>
      <c r="T575" s="99"/>
    </row>
    <row r="576" spans="1:20" ht="12.75">
      <c r="A576" s="367">
        <f t="shared" si="56"/>
        <v>554</v>
      </c>
      <c r="B576" s="368"/>
      <c r="C576" s="377" t="s">
        <v>84</v>
      </c>
      <c r="D576" s="86"/>
      <c r="E576" s="59" t="s">
        <v>197</v>
      </c>
      <c r="F576" s="49">
        <f>+F577+F578</f>
        <v>0</v>
      </c>
      <c r="G576" s="50">
        <f t="shared" si="57"/>
        <v>0</v>
      </c>
      <c r="H576" s="166">
        <f>+H577+H578</f>
        <v>0</v>
      </c>
      <c r="I576" s="166">
        <f>+I577+I578</f>
        <v>0</v>
      </c>
      <c r="J576" s="166">
        <f>+J577+J578</f>
        <v>0</v>
      </c>
      <c r="K576" s="166">
        <v>0</v>
      </c>
      <c r="L576" s="21"/>
      <c r="M576" s="167">
        <f t="shared" si="58"/>
        <v>0</v>
      </c>
      <c r="N576" s="21">
        <f t="shared" si="59"/>
        <v>0</v>
      </c>
      <c r="O576" s="123"/>
      <c r="P576" s="123"/>
      <c r="Q576" s="232"/>
      <c r="R576" s="232"/>
      <c r="S576" s="220"/>
      <c r="T576" s="99"/>
    </row>
    <row r="577" spans="1:20" ht="12.75">
      <c r="A577" s="367">
        <f t="shared" si="56"/>
        <v>555</v>
      </c>
      <c r="B577" s="368"/>
      <c r="C577" s="368"/>
      <c r="D577" s="379" t="s">
        <v>47</v>
      </c>
      <c r="E577" s="66" t="s">
        <v>198</v>
      </c>
      <c r="F577" s="375"/>
      <c r="G577" s="79">
        <f t="shared" si="57"/>
        <v>0</v>
      </c>
      <c r="H577" s="77"/>
      <c r="I577" s="77"/>
      <c r="J577" s="77"/>
      <c r="K577" s="77"/>
      <c r="L577" s="21"/>
      <c r="M577" s="167">
        <f t="shared" si="58"/>
        <v>0</v>
      </c>
      <c r="N577" s="21">
        <f t="shared" si="59"/>
        <v>0</v>
      </c>
      <c r="O577" s="123"/>
      <c r="P577" s="123"/>
      <c r="Q577" s="232"/>
      <c r="R577" s="232"/>
      <c r="S577" s="219"/>
      <c r="T577" s="221"/>
    </row>
    <row r="578" spans="1:20" ht="12.75">
      <c r="A578" s="367">
        <f t="shared" si="56"/>
        <v>556</v>
      </c>
      <c r="B578" s="368"/>
      <c r="C578" s="368"/>
      <c r="D578" s="379" t="s">
        <v>80</v>
      </c>
      <c r="E578" s="66" t="s">
        <v>199</v>
      </c>
      <c r="F578" s="375"/>
      <c r="G578" s="79">
        <f t="shared" si="57"/>
        <v>0</v>
      </c>
      <c r="H578" s="77"/>
      <c r="I578" s="77"/>
      <c r="J578" s="77"/>
      <c r="K578" s="77"/>
      <c r="L578" s="21"/>
      <c r="M578" s="167">
        <f t="shared" si="58"/>
        <v>0</v>
      </c>
      <c r="N578" s="21">
        <f t="shared" si="59"/>
        <v>0</v>
      </c>
      <c r="O578" s="123"/>
      <c r="P578" s="123"/>
      <c r="Q578" s="232"/>
      <c r="R578" s="232"/>
      <c r="S578" s="219"/>
      <c r="T578" s="221"/>
    </row>
    <row r="579" spans="1:20" ht="12.75">
      <c r="A579" s="367">
        <f t="shared" si="56"/>
        <v>557</v>
      </c>
      <c r="B579" s="368"/>
      <c r="C579" s="377" t="s">
        <v>108</v>
      </c>
      <c r="D579" s="369"/>
      <c r="E579" s="59" t="s">
        <v>200</v>
      </c>
      <c r="F579" s="49">
        <f>+F580+F581+F582+F583</f>
        <v>0</v>
      </c>
      <c r="G579" s="50">
        <f t="shared" si="57"/>
        <v>71.53999999999999</v>
      </c>
      <c r="H579" s="166">
        <f>+H580+H581+H582+H583</f>
        <v>0</v>
      </c>
      <c r="I579" s="166">
        <f>+I580+I581+I582+I583</f>
        <v>15</v>
      </c>
      <c r="J579" s="166">
        <f>+J580+J581+J582+J583</f>
        <v>56.54</v>
      </c>
      <c r="K579" s="166">
        <f>+K580+K581+K582+K583</f>
        <v>0</v>
      </c>
      <c r="L579" s="21"/>
      <c r="M579" s="167">
        <f t="shared" si="58"/>
        <v>-71.53999999999999</v>
      </c>
      <c r="N579" s="21">
        <f t="shared" si="59"/>
        <v>-14.999999999999993</v>
      </c>
      <c r="O579" s="123"/>
      <c r="P579" s="123"/>
      <c r="Q579" s="232"/>
      <c r="R579" s="232"/>
      <c r="S579" s="220"/>
      <c r="T579" s="130"/>
    </row>
    <row r="580" spans="1:20" ht="12.75">
      <c r="A580" s="367">
        <f t="shared" si="56"/>
        <v>558</v>
      </c>
      <c r="B580" s="368"/>
      <c r="C580" s="368"/>
      <c r="D580" s="379" t="s">
        <v>47</v>
      </c>
      <c r="E580" s="66" t="s">
        <v>201</v>
      </c>
      <c r="F580" s="375"/>
      <c r="G580" s="79">
        <f t="shared" si="57"/>
        <v>0</v>
      </c>
      <c r="H580" s="77"/>
      <c r="I580" s="77">
        <v>15</v>
      </c>
      <c r="J580" s="77">
        <v>-15</v>
      </c>
      <c r="K580" s="77"/>
      <c r="L580" s="21"/>
      <c r="M580" s="167">
        <f t="shared" si="58"/>
        <v>0</v>
      </c>
      <c r="N580" s="21">
        <f t="shared" si="59"/>
        <v>-15</v>
      </c>
      <c r="O580" s="123">
        <v>0</v>
      </c>
      <c r="P580" s="123"/>
      <c r="Q580" s="232"/>
      <c r="R580" s="232"/>
      <c r="S580" s="219"/>
      <c r="T580" s="221"/>
    </row>
    <row r="581" spans="1:20" ht="12.75">
      <c r="A581" s="367">
        <f t="shared" si="56"/>
        <v>559</v>
      </c>
      <c r="B581" s="368"/>
      <c r="C581" s="368"/>
      <c r="D581" s="379" t="s">
        <v>80</v>
      </c>
      <c r="E581" s="66" t="s">
        <v>202</v>
      </c>
      <c r="F581" s="375"/>
      <c r="G581" s="79">
        <f t="shared" si="57"/>
        <v>61.51</v>
      </c>
      <c r="H581" s="77"/>
      <c r="I581" s="77"/>
      <c r="J581" s="77">
        <v>61.51</v>
      </c>
      <c r="K581" s="77"/>
      <c r="L581" s="21">
        <v>61.51</v>
      </c>
      <c r="M581" s="167">
        <f t="shared" si="58"/>
        <v>0</v>
      </c>
      <c r="N581" s="21">
        <f t="shared" si="59"/>
        <v>61.51</v>
      </c>
      <c r="O581" s="123">
        <v>59.39</v>
      </c>
      <c r="P581" s="123"/>
      <c r="Q581" s="232"/>
      <c r="R581" s="232"/>
      <c r="S581" s="219"/>
      <c r="T581" s="221"/>
    </row>
    <row r="582" spans="1:20" ht="12.75">
      <c r="A582" s="367">
        <f t="shared" si="56"/>
        <v>560</v>
      </c>
      <c r="B582" s="368"/>
      <c r="C582" s="368"/>
      <c r="D582" s="379" t="s">
        <v>84</v>
      </c>
      <c r="E582" s="66" t="s">
        <v>203</v>
      </c>
      <c r="F582" s="375"/>
      <c r="G582" s="79">
        <f t="shared" si="57"/>
        <v>10.03</v>
      </c>
      <c r="H582" s="77"/>
      <c r="I582" s="77"/>
      <c r="J582" s="77">
        <v>10.03</v>
      </c>
      <c r="K582" s="77"/>
      <c r="L582" s="21">
        <v>10.03</v>
      </c>
      <c r="M582" s="167">
        <f t="shared" si="58"/>
        <v>0</v>
      </c>
      <c r="N582" s="21">
        <f t="shared" si="59"/>
        <v>10.03</v>
      </c>
      <c r="O582" s="123">
        <v>10.03</v>
      </c>
      <c r="P582" s="123"/>
      <c r="Q582" s="232"/>
      <c r="R582" s="232"/>
      <c r="S582" s="219"/>
      <c r="T582" s="221"/>
    </row>
    <row r="583" spans="1:20" ht="12.75">
      <c r="A583" s="367">
        <f t="shared" si="56"/>
        <v>561</v>
      </c>
      <c r="B583" s="368"/>
      <c r="C583" s="368"/>
      <c r="D583" s="379" t="s">
        <v>108</v>
      </c>
      <c r="E583" s="66" t="s">
        <v>204</v>
      </c>
      <c r="F583" s="375"/>
      <c r="G583" s="79">
        <f t="shared" si="57"/>
        <v>0</v>
      </c>
      <c r="H583" s="77"/>
      <c r="I583" s="77"/>
      <c r="J583" s="77"/>
      <c r="K583" s="77"/>
      <c r="L583" s="21"/>
      <c r="M583" s="167">
        <f t="shared" si="58"/>
        <v>0</v>
      </c>
      <c r="N583" s="21">
        <f t="shared" si="59"/>
        <v>0</v>
      </c>
      <c r="O583" s="233">
        <v>0</v>
      </c>
      <c r="P583" s="123"/>
      <c r="Q583" s="232"/>
      <c r="R583" s="232"/>
      <c r="S583" s="219"/>
      <c r="T583" s="221"/>
    </row>
    <row r="584" spans="1:20" ht="12.75">
      <c r="A584" s="367">
        <f t="shared" si="56"/>
        <v>562</v>
      </c>
      <c r="B584" s="368"/>
      <c r="C584" s="377" t="s">
        <v>41</v>
      </c>
      <c r="D584" s="369"/>
      <c r="E584" s="85" t="s">
        <v>205</v>
      </c>
      <c r="F584" s="49">
        <f>+F585+F586+F587</f>
        <v>0</v>
      </c>
      <c r="G584" s="50">
        <f t="shared" si="57"/>
        <v>24.22</v>
      </c>
      <c r="H584" s="166">
        <f>+H585+H586+H587</f>
        <v>0</v>
      </c>
      <c r="I584" s="166">
        <f>+I585+I586+I587</f>
        <v>0</v>
      </c>
      <c r="J584" s="166">
        <f>+J585+J586+J587</f>
        <v>24.22</v>
      </c>
      <c r="K584" s="166">
        <f>+K585+K586+K587</f>
        <v>0</v>
      </c>
      <c r="L584" s="21"/>
      <c r="M584" s="167">
        <f t="shared" si="58"/>
        <v>-24.22</v>
      </c>
      <c r="N584" s="21">
        <f t="shared" si="59"/>
        <v>0</v>
      </c>
      <c r="O584" s="123"/>
      <c r="P584" s="123"/>
      <c r="Q584" s="232"/>
      <c r="R584" s="232"/>
      <c r="S584" s="220"/>
      <c r="T584" s="130"/>
    </row>
    <row r="585" spans="1:20" ht="12.75">
      <c r="A585" s="367">
        <f t="shared" si="56"/>
        <v>563</v>
      </c>
      <c r="B585" s="368"/>
      <c r="C585" s="368"/>
      <c r="D585" s="379" t="s">
        <v>47</v>
      </c>
      <c r="E585" s="66" t="s">
        <v>206</v>
      </c>
      <c r="F585" s="375"/>
      <c r="G585" s="79">
        <f t="shared" si="57"/>
        <v>0</v>
      </c>
      <c r="H585" s="77"/>
      <c r="I585" s="77"/>
      <c r="J585" s="77"/>
      <c r="K585" s="77"/>
      <c r="L585" s="21"/>
      <c r="M585" s="167">
        <f t="shared" si="58"/>
        <v>0</v>
      </c>
      <c r="N585" s="21">
        <f t="shared" si="59"/>
        <v>0</v>
      </c>
      <c r="O585" s="123"/>
      <c r="P585" s="123"/>
      <c r="Q585" s="232"/>
      <c r="R585" s="232"/>
      <c r="S585" s="219"/>
      <c r="T585" s="221"/>
    </row>
    <row r="586" spans="1:20" ht="12.75">
      <c r="A586" s="367">
        <f t="shared" si="56"/>
        <v>564</v>
      </c>
      <c r="B586" s="368"/>
      <c r="C586" s="368"/>
      <c r="D586" s="379" t="s">
        <v>84</v>
      </c>
      <c r="E586" s="66" t="s">
        <v>207</v>
      </c>
      <c r="F586" s="375"/>
      <c r="G586" s="79">
        <f t="shared" si="57"/>
        <v>0</v>
      </c>
      <c r="H586" s="77"/>
      <c r="I586" s="77"/>
      <c r="J586" s="77"/>
      <c r="K586" s="77"/>
      <c r="L586" s="21"/>
      <c r="M586" s="167">
        <f t="shared" si="58"/>
        <v>0</v>
      </c>
      <c r="N586" s="21">
        <f t="shared" si="59"/>
        <v>0</v>
      </c>
      <c r="O586" s="123"/>
      <c r="P586" s="123"/>
      <c r="Q586" s="232"/>
      <c r="R586" s="232"/>
      <c r="S586" s="219"/>
      <c r="T586" s="221"/>
    </row>
    <row r="587" spans="1:20" ht="12.75">
      <c r="A587" s="367">
        <f t="shared" si="56"/>
        <v>565</v>
      </c>
      <c r="B587" s="368"/>
      <c r="C587" s="368"/>
      <c r="D587" s="369">
        <v>30</v>
      </c>
      <c r="E587" s="66" t="s">
        <v>208</v>
      </c>
      <c r="F587" s="375"/>
      <c r="G587" s="79">
        <f t="shared" si="57"/>
        <v>24.22</v>
      </c>
      <c r="H587" s="77"/>
      <c r="I587" s="77"/>
      <c r="J587" s="77">
        <v>24.22</v>
      </c>
      <c r="K587" s="77"/>
      <c r="L587" s="21">
        <v>24.21</v>
      </c>
      <c r="M587" s="167">
        <f t="shared" si="58"/>
        <v>-0.00999999999999801</v>
      </c>
      <c r="N587" s="21">
        <f t="shared" si="59"/>
        <v>24.21</v>
      </c>
      <c r="O587" s="123">
        <v>11.53</v>
      </c>
      <c r="P587" s="123"/>
      <c r="Q587" s="232"/>
      <c r="R587" s="232"/>
      <c r="S587" s="219"/>
      <c r="T587" s="130"/>
    </row>
    <row r="588" spans="1:20" ht="12.75">
      <c r="A588" s="367">
        <f t="shared" si="56"/>
        <v>566</v>
      </c>
      <c r="B588" s="368"/>
      <c r="C588" s="377" t="s">
        <v>154</v>
      </c>
      <c r="D588" s="369"/>
      <c r="E588" s="59" t="s">
        <v>209</v>
      </c>
      <c r="F588" s="49">
        <f>+F589+F590</f>
        <v>0</v>
      </c>
      <c r="G588" s="50">
        <f t="shared" si="57"/>
        <v>2.48</v>
      </c>
      <c r="H588" s="166">
        <f>+H589+H590</f>
        <v>0</v>
      </c>
      <c r="I588" s="166">
        <f>+I589+I590</f>
        <v>0</v>
      </c>
      <c r="J588" s="166">
        <f>+J589+J590</f>
        <v>2.48</v>
      </c>
      <c r="K588" s="166">
        <f>+K589+K590</f>
        <v>0</v>
      </c>
      <c r="L588" s="21"/>
      <c r="M588" s="167">
        <f t="shared" si="58"/>
        <v>-2.48</v>
      </c>
      <c r="N588" s="21">
        <f t="shared" si="59"/>
        <v>0</v>
      </c>
      <c r="O588" s="123"/>
      <c r="P588" s="123"/>
      <c r="Q588" s="232"/>
      <c r="R588" s="232"/>
      <c r="S588" s="220"/>
      <c r="T588" s="130"/>
    </row>
    <row r="589" spans="1:20" ht="12.75">
      <c r="A589" s="367">
        <f t="shared" si="56"/>
        <v>567</v>
      </c>
      <c r="B589" s="368"/>
      <c r="C589" s="368"/>
      <c r="D589" s="379" t="s">
        <v>47</v>
      </c>
      <c r="E589" s="78" t="s">
        <v>272</v>
      </c>
      <c r="F589" s="375"/>
      <c r="G589" s="79">
        <f t="shared" si="57"/>
        <v>2.48</v>
      </c>
      <c r="H589" s="77"/>
      <c r="I589" s="77"/>
      <c r="J589" s="77">
        <v>2.48</v>
      </c>
      <c r="K589" s="77"/>
      <c r="L589" s="21">
        <v>2.48</v>
      </c>
      <c r="M589" s="167">
        <f t="shared" si="58"/>
        <v>0</v>
      </c>
      <c r="N589" s="21">
        <f t="shared" si="59"/>
        <v>2.48</v>
      </c>
      <c r="O589" s="123">
        <v>2.48</v>
      </c>
      <c r="P589" s="123"/>
      <c r="Q589" s="232"/>
      <c r="R589" s="232"/>
      <c r="S589" s="219"/>
      <c r="T589" s="221"/>
    </row>
    <row r="590" spans="1:20" ht="12.75">
      <c r="A590" s="367">
        <f t="shared" si="56"/>
        <v>568</v>
      </c>
      <c r="B590" s="368"/>
      <c r="C590" s="368"/>
      <c r="D590" s="379" t="s">
        <v>80</v>
      </c>
      <c r="E590" s="66" t="s">
        <v>211</v>
      </c>
      <c r="F590" s="375"/>
      <c r="G590" s="79">
        <f t="shared" si="57"/>
        <v>0</v>
      </c>
      <c r="H590" s="77"/>
      <c r="I590" s="77"/>
      <c r="J590" s="77"/>
      <c r="K590" s="77"/>
      <c r="L590" s="21"/>
      <c r="M590" s="167">
        <f t="shared" si="58"/>
        <v>0</v>
      </c>
      <c r="N590" s="21">
        <f t="shared" si="59"/>
        <v>0</v>
      </c>
      <c r="O590" s="123"/>
      <c r="P590" s="123"/>
      <c r="Q590" s="232"/>
      <c r="R590" s="232"/>
      <c r="S590" s="219"/>
      <c r="T590" s="221"/>
    </row>
    <row r="591" spans="1:20" ht="12.75">
      <c r="A591" s="367">
        <f t="shared" si="56"/>
        <v>569</v>
      </c>
      <c r="B591" s="368"/>
      <c r="C591" s="377" t="s">
        <v>160</v>
      </c>
      <c r="D591" s="369"/>
      <c r="E591" s="85" t="s">
        <v>212</v>
      </c>
      <c r="F591" s="375"/>
      <c r="G591" s="49">
        <f t="shared" si="57"/>
        <v>0</v>
      </c>
      <c r="H591" s="467"/>
      <c r="I591" s="467"/>
      <c r="J591" s="467"/>
      <c r="K591" s="470"/>
      <c r="L591" s="21"/>
      <c r="M591" s="167"/>
      <c r="N591" s="21"/>
      <c r="O591" s="123"/>
      <c r="P591" s="123"/>
      <c r="Q591" s="232"/>
      <c r="R591" s="232"/>
      <c r="S591" s="220"/>
      <c r="T591" s="130"/>
    </row>
    <row r="592" spans="1:20" ht="12.75">
      <c r="A592" s="367">
        <f t="shared" si="56"/>
        <v>570</v>
      </c>
      <c r="B592" s="368"/>
      <c r="C592" s="368">
        <v>10</v>
      </c>
      <c r="D592" s="369"/>
      <c r="E592" s="85" t="s">
        <v>213</v>
      </c>
      <c r="F592" s="375"/>
      <c r="G592" s="79">
        <f t="shared" si="57"/>
        <v>0</v>
      </c>
      <c r="H592" s="467"/>
      <c r="I592" s="467"/>
      <c r="J592" s="467"/>
      <c r="K592" s="467"/>
      <c r="L592" s="21"/>
      <c r="N592" s="21"/>
      <c r="O592" s="123"/>
      <c r="P592" s="123"/>
      <c r="Q592" s="232"/>
      <c r="R592" s="232"/>
      <c r="S592" s="219"/>
      <c r="T592" s="130"/>
    </row>
    <row r="593" spans="1:20" ht="12.75">
      <c r="A593" s="367">
        <f t="shared" si="56"/>
        <v>571</v>
      </c>
      <c r="B593" s="368"/>
      <c r="C593" s="368">
        <v>11</v>
      </c>
      <c r="D593" s="369"/>
      <c r="E593" s="85" t="s">
        <v>273</v>
      </c>
      <c r="F593" s="375"/>
      <c r="G593" s="79">
        <f t="shared" si="57"/>
        <v>0</v>
      </c>
      <c r="H593" s="467"/>
      <c r="I593" s="467"/>
      <c r="J593" s="467"/>
      <c r="K593" s="467"/>
      <c r="L593" s="21"/>
      <c r="N593" s="21"/>
      <c r="O593" s="123"/>
      <c r="P593" s="123"/>
      <c r="Q593" s="232"/>
      <c r="R593" s="232"/>
      <c r="S593" s="219"/>
      <c r="T593" s="130"/>
    </row>
    <row r="594" spans="1:20" ht="12.75">
      <c r="A594" s="367">
        <f t="shared" si="56"/>
        <v>572</v>
      </c>
      <c r="B594" s="368"/>
      <c r="C594" s="368">
        <v>12</v>
      </c>
      <c r="D594" s="369"/>
      <c r="E594" s="85" t="s">
        <v>274</v>
      </c>
      <c r="F594" s="375"/>
      <c r="G594" s="79">
        <f t="shared" si="57"/>
        <v>0</v>
      </c>
      <c r="H594" s="467"/>
      <c r="I594" s="467"/>
      <c r="J594" s="467"/>
      <c r="K594" s="467"/>
      <c r="L594" s="21"/>
      <c r="N594" s="21"/>
      <c r="O594" s="123"/>
      <c r="P594" s="123"/>
      <c r="Q594" s="232"/>
      <c r="R594" s="232"/>
      <c r="S594" s="219"/>
      <c r="T594" s="130"/>
    </row>
    <row r="595" spans="1:20" ht="12.75">
      <c r="A595" s="367">
        <f t="shared" si="56"/>
        <v>573</v>
      </c>
      <c r="B595" s="368"/>
      <c r="C595" s="368">
        <v>13</v>
      </c>
      <c r="D595" s="369"/>
      <c r="E595" s="85" t="s">
        <v>216</v>
      </c>
      <c r="F595" s="375"/>
      <c r="G595" s="79">
        <f t="shared" si="57"/>
        <v>0</v>
      </c>
      <c r="H595" s="467"/>
      <c r="I595" s="467"/>
      <c r="J595" s="467"/>
      <c r="K595" s="467"/>
      <c r="L595" s="21"/>
      <c r="N595" s="21"/>
      <c r="O595" s="123"/>
      <c r="P595" s="123"/>
      <c r="Q595" s="232"/>
      <c r="R595" s="232"/>
      <c r="S595" s="219"/>
      <c r="T595" s="130"/>
    </row>
    <row r="596" spans="1:20" ht="12.75">
      <c r="A596" s="367">
        <f t="shared" si="56"/>
        <v>574</v>
      </c>
      <c r="B596" s="368"/>
      <c r="C596" s="368">
        <v>14</v>
      </c>
      <c r="D596" s="369"/>
      <c r="E596" s="85" t="s">
        <v>217</v>
      </c>
      <c r="F596" s="375"/>
      <c r="G596" s="79">
        <f t="shared" si="57"/>
        <v>0</v>
      </c>
      <c r="H596" s="467"/>
      <c r="I596" s="467"/>
      <c r="J596" s="467"/>
      <c r="K596" s="467"/>
      <c r="L596" s="21"/>
      <c r="N596" s="21"/>
      <c r="O596" s="123"/>
      <c r="P596" s="123"/>
      <c r="Q596" s="232"/>
      <c r="R596" s="232"/>
      <c r="S596" s="219"/>
      <c r="T596" s="130"/>
    </row>
    <row r="597" spans="1:20" ht="12.75">
      <c r="A597" s="367">
        <f t="shared" si="56"/>
        <v>575</v>
      </c>
      <c r="B597" s="368"/>
      <c r="C597" s="368">
        <v>25</v>
      </c>
      <c r="D597" s="369"/>
      <c r="E597" s="85" t="s">
        <v>218</v>
      </c>
      <c r="F597" s="375"/>
      <c r="G597" s="79">
        <f t="shared" si="57"/>
        <v>0</v>
      </c>
      <c r="H597" s="467"/>
      <c r="I597" s="467"/>
      <c r="J597" s="467"/>
      <c r="K597" s="467"/>
      <c r="L597" s="21"/>
      <c r="N597" s="21"/>
      <c r="O597" s="123"/>
      <c r="P597" s="123"/>
      <c r="Q597" s="232"/>
      <c r="R597" s="232"/>
      <c r="S597" s="219"/>
      <c r="T597" s="130"/>
    </row>
    <row r="598" spans="1:20" ht="12.75">
      <c r="A598" s="367">
        <f t="shared" si="56"/>
        <v>576</v>
      </c>
      <c r="B598" s="368"/>
      <c r="C598" s="368">
        <v>27</v>
      </c>
      <c r="D598" s="369"/>
      <c r="E598" s="85" t="s">
        <v>219</v>
      </c>
      <c r="F598" s="375"/>
      <c r="G598" s="79">
        <f t="shared" si="57"/>
        <v>0</v>
      </c>
      <c r="H598" s="467"/>
      <c r="I598" s="467"/>
      <c r="J598" s="467"/>
      <c r="K598" s="467"/>
      <c r="L598" s="21"/>
      <c r="N598" s="21"/>
      <c r="O598" s="123"/>
      <c r="P598" s="123"/>
      <c r="Q598" s="232"/>
      <c r="R598" s="232"/>
      <c r="S598" s="219"/>
      <c r="T598" s="130"/>
    </row>
    <row r="599" spans="1:20" ht="12.75">
      <c r="A599" s="367">
        <f t="shared" si="56"/>
        <v>577</v>
      </c>
      <c r="B599" s="368"/>
      <c r="C599" s="368">
        <v>30</v>
      </c>
      <c r="D599" s="369"/>
      <c r="E599" s="85" t="s">
        <v>120</v>
      </c>
      <c r="F599" s="49">
        <f>+F600+F601+F602+F603+F604</f>
        <v>0</v>
      </c>
      <c r="G599" s="50">
        <f t="shared" si="57"/>
        <v>0</v>
      </c>
      <c r="H599" s="166">
        <f>+H600+H601+H602+H603+H604</f>
        <v>0</v>
      </c>
      <c r="I599" s="166">
        <f>+I600+I601+I602+I603+I604</f>
        <v>0</v>
      </c>
      <c r="J599" s="166">
        <f>+J600+J601+J602+J603+J604</f>
        <v>0</v>
      </c>
      <c r="K599" s="166">
        <f>+K600+K601+K602+K603+K604</f>
        <v>0</v>
      </c>
      <c r="L599" s="21"/>
      <c r="N599" s="21"/>
      <c r="O599" s="123"/>
      <c r="P599" s="123"/>
      <c r="Q599" s="232"/>
      <c r="R599" s="232"/>
      <c r="S599" s="219"/>
      <c r="T599" s="130"/>
    </row>
    <row r="600" spans="1:20" ht="12.75">
      <c r="A600" s="367">
        <f t="shared" si="56"/>
        <v>578</v>
      </c>
      <c r="B600" s="368"/>
      <c r="C600" s="368"/>
      <c r="D600" s="379" t="s">
        <v>47</v>
      </c>
      <c r="E600" s="66" t="s">
        <v>220</v>
      </c>
      <c r="F600" s="375"/>
      <c r="G600" s="79">
        <f t="shared" si="57"/>
        <v>0</v>
      </c>
      <c r="H600" s="77"/>
      <c r="I600" s="77"/>
      <c r="J600" s="77"/>
      <c r="K600" s="77"/>
      <c r="L600" s="21"/>
      <c r="N600" s="21"/>
      <c r="O600" s="123"/>
      <c r="P600" s="123"/>
      <c r="Q600" s="232"/>
      <c r="R600" s="232"/>
      <c r="S600" s="219"/>
      <c r="T600" s="221"/>
    </row>
    <row r="601" spans="1:20" ht="12.75">
      <c r="A601" s="367">
        <f t="shared" si="56"/>
        <v>579</v>
      </c>
      <c r="B601" s="368"/>
      <c r="C601" s="368"/>
      <c r="D601" s="379" t="s">
        <v>84</v>
      </c>
      <c r="E601" s="66" t="s">
        <v>221</v>
      </c>
      <c r="F601" s="375"/>
      <c r="G601" s="79">
        <f t="shared" si="57"/>
        <v>0</v>
      </c>
      <c r="H601" s="77"/>
      <c r="I601" s="77"/>
      <c r="J601" s="77"/>
      <c r="K601" s="77"/>
      <c r="L601" s="21"/>
      <c r="N601" s="21"/>
      <c r="O601" s="123"/>
      <c r="P601" s="123"/>
      <c r="Q601" s="232"/>
      <c r="R601" s="232"/>
      <c r="S601" s="219"/>
      <c r="T601" s="221"/>
    </row>
    <row r="602" spans="1:20" ht="12.75">
      <c r="A602" s="367">
        <f t="shared" si="56"/>
        <v>580</v>
      </c>
      <c r="B602" s="368"/>
      <c r="C602" s="368"/>
      <c r="D602" s="379" t="s">
        <v>108</v>
      </c>
      <c r="E602" s="66" t="s">
        <v>222</v>
      </c>
      <c r="F602" s="375"/>
      <c r="G602" s="79">
        <f t="shared" si="57"/>
        <v>0</v>
      </c>
      <c r="H602" s="77"/>
      <c r="I602" s="77"/>
      <c r="J602" s="77"/>
      <c r="K602" s="77"/>
      <c r="L602" s="21"/>
      <c r="N602" s="21"/>
      <c r="O602" s="123"/>
      <c r="P602" s="123"/>
      <c r="Q602" s="232"/>
      <c r="R602" s="232"/>
      <c r="S602" s="123"/>
      <c r="T602" s="123"/>
    </row>
    <row r="603" spans="1:20" ht="12.75">
      <c r="A603" s="367">
        <f t="shared" si="56"/>
        <v>581</v>
      </c>
      <c r="B603" s="368"/>
      <c r="C603" s="368"/>
      <c r="D603" s="379" t="s">
        <v>160</v>
      </c>
      <c r="E603" s="66" t="s">
        <v>223</v>
      </c>
      <c r="F603" s="375"/>
      <c r="G603" s="79">
        <f t="shared" si="57"/>
        <v>0</v>
      </c>
      <c r="H603" s="77"/>
      <c r="I603" s="77"/>
      <c r="J603" s="77"/>
      <c r="K603" s="77"/>
      <c r="L603" s="21"/>
      <c r="N603" s="21"/>
      <c r="O603" s="123"/>
      <c r="P603" s="123"/>
      <c r="Q603" s="232"/>
      <c r="R603" s="232"/>
      <c r="S603" s="123"/>
      <c r="T603" s="123"/>
    </row>
    <row r="604" spans="1:20" ht="12.75">
      <c r="A604" s="367">
        <f t="shared" si="56"/>
        <v>582</v>
      </c>
      <c r="B604" s="368"/>
      <c r="C604" s="368"/>
      <c r="D604" s="369">
        <v>30</v>
      </c>
      <c r="E604" s="66" t="s">
        <v>224</v>
      </c>
      <c r="F604" s="375"/>
      <c r="G604" s="79">
        <f t="shared" si="57"/>
        <v>0</v>
      </c>
      <c r="H604" s="77"/>
      <c r="I604" s="77"/>
      <c r="J604" s="77"/>
      <c r="K604" s="77"/>
      <c r="L604" s="21"/>
      <c r="N604" s="21"/>
      <c r="O604" s="123"/>
      <c r="P604" s="123"/>
      <c r="Q604" s="232"/>
      <c r="R604" s="232"/>
      <c r="S604" s="123"/>
      <c r="T604" s="123"/>
    </row>
    <row r="605" spans="1:20" ht="12.75">
      <c r="A605" s="367">
        <f t="shared" si="56"/>
        <v>583</v>
      </c>
      <c r="B605" s="395">
        <v>30</v>
      </c>
      <c r="C605" s="395"/>
      <c r="D605" s="396"/>
      <c r="E605" s="418" t="s">
        <v>225</v>
      </c>
      <c r="F605" s="49">
        <f aca="true" t="shared" si="60" ref="F605:K606">+F606</f>
        <v>0</v>
      </c>
      <c r="G605" s="79">
        <f t="shared" si="57"/>
        <v>0</v>
      </c>
      <c r="H605" s="49">
        <f t="shared" si="60"/>
        <v>0</v>
      </c>
      <c r="I605" s="49">
        <f t="shared" si="60"/>
        <v>0</v>
      </c>
      <c r="J605" s="49">
        <f t="shared" si="60"/>
        <v>0</v>
      </c>
      <c r="K605" s="124">
        <f t="shared" si="60"/>
        <v>0</v>
      </c>
      <c r="L605" s="21"/>
      <c r="N605" s="21"/>
      <c r="O605" s="123"/>
      <c r="P605" s="123"/>
      <c r="Q605" s="232"/>
      <c r="R605" s="232"/>
      <c r="S605" s="123"/>
      <c r="T605" s="123"/>
    </row>
    <row r="606" spans="1:20" ht="12.75">
      <c r="A606" s="367">
        <f t="shared" si="56"/>
        <v>584</v>
      </c>
      <c r="B606" s="395"/>
      <c r="C606" s="401" t="s">
        <v>84</v>
      </c>
      <c r="D606" s="396"/>
      <c r="E606" s="418" t="s">
        <v>226</v>
      </c>
      <c r="F606" s="49">
        <f t="shared" si="60"/>
        <v>0</v>
      </c>
      <c r="G606" s="79">
        <f t="shared" si="57"/>
        <v>0</v>
      </c>
      <c r="H606" s="49">
        <f t="shared" si="60"/>
        <v>0</v>
      </c>
      <c r="I606" s="49">
        <f t="shared" si="60"/>
        <v>0</v>
      </c>
      <c r="J606" s="49">
        <f t="shared" si="60"/>
        <v>0</v>
      </c>
      <c r="K606" s="124">
        <f t="shared" si="60"/>
        <v>0</v>
      </c>
      <c r="L606" s="21"/>
      <c r="N606" s="21"/>
      <c r="O606" s="123"/>
      <c r="P606" s="123"/>
      <c r="Q606" s="232"/>
      <c r="R606" s="232"/>
      <c r="S606" s="123"/>
      <c r="T606" s="123"/>
    </row>
    <row r="607" spans="1:18" ht="12.75">
      <c r="A607" s="367">
        <f t="shared" si="56"/>
        <v>585</v>
      </c>
      <c r="B607" s="395"/>
      <c r="C607" s="401"/>
      <c r="D607" s="402" t="s">
        <v>41</v>
      </c>
      <c r="E607" s="419" t="s">
        <v>227</v>
      </c>
      <c r="F607" s="375"/>
      <c r="G607" s="79">
        <f t="shared" si="57"/>
        <v>0</v>
      </c>
      <c r="H607" s="375"/>
      <c r="I607" s="375"/>
      <c r="J607" s="375"/>
      <c r="K607" s="412"/>
      <c r="L607" s="21"/>
      <c r="N607" s="21"/>
      <c r="Q607" s="197"/>
      <c r="R607" s="197"/>
    </row>
    <row r="608" spans="1:18" ht="12.75">
      <c r="A608" s="367">
        <f>A607+1</f>
        <v>586</v>
      </c>
      <c r="B608" s="395">
        <v>57</v>
      </c>
      <c r="C608" s="401"/>
      <c r="D608" s="402"/>
      <c r="E608" s="418" t="s">
        <v>230</v>
      </c>
      <c r="F608" s="109">
        <f aca="true" t="shared" si="61" ref="F608:K609">F609</f>
        <v>0</v>
      </c>
      <c r="G608" s="109">
        <f t="shared" si="57"/>
        <v>0</v>
      </c>
      <c r="H608" s="109">
        <f t="shared" si="61"/>
        <v>0</v>
      </c>
      <c r="I608" s="109">
        <f t="shared" si="61"/>
        <v>0</v>
      </c>
      <c r="J608" s="109">
        <f t="shared" si="61"/>
        <v>0</v>
      </c>
      <c r="K608" s="109">
        <f t="shared" si="61"/>
        <v>0</v>
      </c>
      <c r="L608" s="21"/>
      <c r="N608" s="21"/>
      <c r="Q608" s="197"/>
      <c r="R608" s="197"/>
    </row>
    <row r="609" spans="1:14" ht="12.75">
      <c r="A609" s="367">
        <f>A608+1</f>
        <v>587</v>
      </c>
      <c r="B609" s="395"/>
      <c r="C609" s="401" t="s">
        <v>47</v>
      </c>
      <c r="D609" s="402"/>
      <c r="E609" s="418" t="s">
        <v>231</v>
      </c>
      <c r="F609" s="109">
        <f t="shared" si="61"/>
        <v>0</v>
      </c>
      <c r="G609" s="109">
        <f aca="true" t="shared" si="62" ref="G609:G627">H609+I609+J609+K609</f>
        <v>0</v>
      </c>
      <c r="H609" s="109">
        <f t="shared" si="61"/>
        <v>0</v>
      </c>
      <c r="I609" s="109">
        <f t="shared" si="61"/>
        <v>0</v>
      </c>
      <c r="J609" s="109">
        <f t="shared" si="61"/>
        <v>0</v>
      </c>
      <c r="K609" s="109">
        <f t="shared" si="61"/>
        <v>0</v>
      </c>
      <c r="L609" s="21"/>
      <c r="N609" s="21"/>
    </row>
    <row r="610" spans="1:14" ht="12.75">
      <c r="A610" s="367">
        <f aca="true" t="shared" si="63" ref="A610:A643">A609+1</f>
        <v>588</v>
      </c>
      <c r="B610" s="395"/>
      <c r="C610" s="401" t="s">
        <v>80</v>
      </c>
      <c r="D610" s="402"/>
      <c r="E610" s="419" t="s">
        <v>232</v>
      </c>
      <c r="F610" s="109">
        <f>F611+F612+F613+F614</f>
        <v>0</v>
      </c>
      <c r="G610" s="109">
        <f t="shared" si="62"/>
        <v>0</v>
      </c>
      <c r="H610" s="109">
        <f>H611+H612+H613+H614</f>
        <v>0</v>
      </c>
      <c r="I610" s="109">
        <f>I611+I612+I613+I614</f>
        <v>0</v>
      </c>
      <c r="J610" s="109">
        <f>J611+J612+J613+J614</f>
        <v>0</v>
      </c>
      <c r="K610" s="420">
        <f>K611+K612+K613+K614</f>
        <v>0</v>
      </c>
      <c r="L610" s="21"/>
      <c r="N610" s="21"/>
    </row>
    <row r="611" spans="1:14" ht="12.75">
      <c r="A611" s="367">
        <f t="shared" si="63"/>
        <v>589</v>
      </c>
      <c r="B611" s="395"/>
      <c r="C611" s="401"/>
      <c r="D611" s="402" t="s">
        <v>47</v>
      </c>
      <c r="E611" s="419" t="s">
        <v>233</v>
      </c>
      <c r="F611" s="375"/>
      <c r="G611" s="109">
        <f t="shared" si="62"/>
        <v>0</v>
      </c>
      <c r="H611" s="375"/>
      <c r="I611" s="375"/>
      <c r="J611" s="375"/>
      <c r="K611" s="412"/>
      <c r="L611" s="21"/>
      <c r="N611" s="21"/>
    </row>
    <row r="612" spans="1:14" ht="12.75">
      <c r="A612" s="367">
        <f t="shared" si="63"/>
        <v>590</v>
      </c>
      <c r="B612" s="395"/>
      <c r="C612" s="401"/>
      <c r="D612" s="402" t="s">
        <v>80</v>
      </c>
      <c r="E612" s="419" t="s">
        <v>234</v>
      </c>
      <c r="F612" s="375"/>
      <c r="G612" s="109">
        <f t="shared" si="62"/>
        <v>0</v>
      </c>
      <c r="H612" s="375"/>
      <c r="I612" s="375"/>
      <c r="J612" s="375"/>
      <c r="K612" s="412"/>
      <c r="L612" s="21"/>
      <c r="N612" s="21"/>
    </row>
    <row r="613" spans="1:14" ht="12.75">
      <c r="A613" s="367">
        <f t="shared" si="63"/>
        <v>591</v>
      </c>
      <c r="B613" s="395"/>
      <c r="C613" s="401"/>
      <c r="D613" s="402" t="s">
        <v>84</v>
      </c>
      <c r="E613" s="419" t="s">
        <v>235</v>
      </c>
      <c r="F613" s="375"/>
      <c r="G613" s="109">
        <f t="shared" si="62"/>
        <v>0</v>
      </c>
      <c r="H613" s="375"/>
      <c r="I613" s="375"/>
      <c r="J613" s="375"/>
      <c r="K613" s="412"/>
      <c r="L613" s="21"/>
      <c r="N613" s="21"/>
    </row>
    <row r="614" spans="1:14" ht="12.75">
      <c r="A614" s="367">
        <f t="shared" si="63"/>
        <v>592</v>
      </c>
      <c r="B614" s="395"/>
      <c r="C614" s="401"/>
      <c r="D614" s="402" t="s">
        <v>108</v>
      </c>
      <c r="E614" s="419" t="s">
        <v>236</v>
      </c>
      <c r="F614" s="375"/>
      <c r="G614" s="109">
        <f t="shared" si="62"/>
        <v>0</v>
      </c>
      <c r="H614" s="375"/>
      <c r="I614" s="375"/>
      <c r="J614" s="375"/>
      <c r="K614" s="412"/>
      <c r="L614" s="21"/>
      <c r="N614" s="21"/>
    </row>
    <row r="615" spans="1:15" ht="12.75">
      <c r="A615" s="367">
        <f t="shared" si="63"/>
        <v>593</v>
      </c>
      <c r="B615" s="368">
        <v>70</v>
      </c>
      <c r="C615" s="368"/>
      <c r="D615" s="369"/>
      <c r="E615" s="85" t="s">
        <v>288</v>
      </c>
      <c r="F615" s="49">
        <f>+F616</f>
        <v>0</v>
      </c>
      <c r="G615" s="50">
        <f t="shared" si="62"/>
        <v>9718</v>
      </c>
      <c r="H615" s="49">
        <f>+H616</f>
        <v>1338</v>
      </c>
      <c r="I615" s="49">
        <f>+I616</f>
        <v>8380</v>
      </c>
      <c r="J615" s="49">
        <f>+J616</f>
        <v>0</v>
      </c>
      <c r="K615" s="124">
        <f>+K616</f>
        <v>0</v>
      </c>
      <c r="L615" s="21"/>
      <c r="N615" s="21"/>
      <c r="O615">
        <v>9713.8</v>
      </c>
    </row>
    <row r="616" spans="1:14" ht="12.75">
      <c r="A616" s="367">
        <f t="shared" si="63"/>
        <v>594</v>
      </c>
      <c r="B616" s="368">
        <v>71</v>
      </c>
      <c r="C616" s="368"/>
      <c r="D616" s="369"/>
      <c r="E616" s="85" t="s">
        <v>238</v>
      </c>
      <c r="F616" s="49">
        <f>+F617+F622</f>
        <v>0</v>
      </c>
      <c r="G616" s="50">
        <f t="shared" si="62"/>
        <v>9718</v>
      </c>
      <c r="H616" s="49">
        <f>+H617+H622</f>
        <v>1338</v>
      </c>
      <c r="I616" s="49">
        <f>+I617+I622</f>
        <v>8380</v>
      </c>
      <c r="J616" s="49">
        <f>+J617+J622</f>
        <v>0</v>
      </c>
      <c r="K616" s="124">
        <f>+K617+K622</f>
        <v>0</v>
      </c>
      <c r="L616" s="21"/>
      <c r="N616" s="21"/>
    </row>
    <row r="617" spans="1:14" ht="12.75">
      <c r="A617" s="367">
        <f t="shared" si="63"/>
        <v>595</v>
      </c>
      <c r="B617" s="368"/>
      <c r="C617" s="377" t="s">
        <v>47</v>
      </c>
      <c r="D617" s="369"/>
      <c r="E617" s="85" t="s">
        <v>77</v>
      </c>
      <c r="F617" s="49">
        <f>+F618+F619+F620+F621</f>
        <v>0</v>
      </c>
      <c r="G617" s="50">
        <f t="shared" si="62"/>
        <v>8766</v>
      </c>
      <c r="H617" s="49">
        <f>+H618+H619+H620+H621</f>
        <v>386</v>
      </c>
      <c r="I617" s="49">
        <f>+I618+I619+I620+I621</f>
        <v>8380</v>
      </c>
      <c r="J617" s="49">
        <f>+J618+J619+J620+J621</f>
        <v>0</v>
      </c>
      <c r="K617" s="124">
        <f>+K618+K619+K620+K621</f>
        <v>0</v>
      </c>
      <c r="L617" s="21"/>
      <c r="N617" s="21"/>
    </row>
    <row r="618" spans="1:14" ht="12.75">
      <c r="A618" s="367">
        <f t="shared" si="63"/>
        <v>596</v>
      </c>
      <c r="B618" s="368"/>
      <c r="C618" s="368"/>
      <c r="D618" s="379" t="s">
        <v>47</v>
      </c>
      <c r="E618" s="66" t="s">
        <v>239</v>
      </c>
      <c r="F618" s="375"/>
      <c r="G618" s="79">
        <f t="shared" si="62"/>
        <v>0</v>
      </c>
      <c r="H618" s="375"/>
      <c r="I618" s="375"/>
      <c r="J618" s="375"/>
      <c r="K618" s="375"/>
      <c r="L618" s="21"/>
      <c r="N618" s="21"/>
    </row>
    <row r="619" spans="1:14" ht="12.75">
      <c r="A619" s="367">
        <f t="shared" si="63"/>
        <v>597</v>
      </c>
      <c r="B619" s="368"/>
      <c r="C619" s="368"/>
      <c r="D619" s="379" t="s">
        <v>80</v>
      </c>
      <c r="E619" s="66" t="s">
        <v>81</v>
      </c>
      <c r="F619" s="375"/>
      <c r="G619" s="79">
        <f t="shared" si="62"/>
        <v>8380</v>
      </c>
      <c r="H619" s="375">
        <v>0</v>
      </c>
      <c r="I619" s="375">
        <v>8380</v>
      </c>
      <c r="J619" s="375">
        <v>0</v>
      </c>
      <c r="K619" s="375"/>
      <c r="L619" s="21"/>
      <c r="N619" s="21"/>
    </row>
    <row r="620" spans="1:14" ht="12.75">
      <c r="A620" s="367">
        <f t="shared" si="63"/>
        <v>598</v>
      </c>
      <c r="B620" s="368"/>
      <c r="C620" s="368"/>
      <c r="D620" s="379" t="s">
        <v>84</v>
      </c>
      <c r="E620" s="66" t="s">
        <v>245</v>
      </c>
      <c r="F620" s="375"/>
      <c r="G620" s="79">
        <f t="shared" si="62"/>
        <v>386</v>
      </c>
      <c r="H620" s="375">
        <v>386</v>
      </c>
      <c r="I620" s="375"/>
      <c r="J620" s="375"/>
      <c r="K620" s="375"/>
      <c r="L620" s="21"/>
      <c r="N620" s="21"/>
    </row>
    <row r="621" spans="1:14" ht="12.75">
      <c r="A621" s="367">
        <f t="shared" si="63"/>
        <v>599</v>
      </c>
      <c r="B621" s="368"/>
      <c r="C621" s="368"/>
      <c r="D621" s="369">
        <v>30</v>
      </c>
      <c r="E621" s="66" t="s">
        <v>275</v>
      </c>
      <c r="F621" s="375"/>
      <c r="G621" s="79">
        <f t="shared" si="62"/>
        <v>0</v>
      </c>
      <c r="H621" s="375"/>
      <c r="I621" s="375"/>
      <c r="J621" s="375"/>
      <c r="K621" s="375"/>
      <c r="L621" s="21"/>
      <c r="N621" s="21"/>
    </row>
    <row r="622" spans="1:14" ht="12.75">
      <c r="A622" s="367">
        <f t="shared" si="63"/>
        <v>600</v>
      </c>
      <c r="B622" s="368"/>
      <c r="C622" s="377" t="s">
        <v>84</v>
      </c>
      <c r="D622" s="369"/>
      <c r="E622" s="59" t="s">
        <v>243</v>
      </c>
      <c r="F622" s="375"/>
      <c r="G622" s="79">
        <f t="shared" si="62"/>
        <v>952</v>
      </c>
      <c r="H622" s="375">
        <v>952</v>
      </c>
      <c r="I622" s="375"/>
      <c r="J622" s="375"/>
      <c r="K622" s="375"/>
      <c r="L622" s="21"/>
      <c r="N622" s="21"/>
    </row>
    <row r="623" spans="1:14" ht="12.75">
      <c r="A623" s="367">
        <f t="shared" si="63"/>
        <v>601</v>
      </c>
      <c r="B623" s="368"/>
      <c r="C623" s="368"/>
      <c r="D623" s="369"/>
      <c r="E623" s="85" t="s">
        <v>244</v>
      </c>
      <c r="F623" s="49">
        <f>+F624+F625+F626</f>
        <v>0</v>
      </c>
      <c r="G623" s="50">
        <f t="shared" si="62"/>
        <v>0</v>
      </c>
      <c r="H623" s="49">
        <f>+H624+H625+H626</f>
        <v>0</v>
      </c>
      <c r="I623" s="49">
        <f>+I624+I625+I626</f>
        <v>0</v>
      </c>
      <c r="J623" s="49">
        <f>+J624+J625+J626</f>
        <v>0</v>
      </c>
      <c r="K623" s="124">
        <f>+K624+K625+K626</f>
        <v>0</v>
      </c>
      <c r="L623" s="21"/>
      <c r="N623" s="21"/>
    </row>
    <row r="624" spans="1:12" ht="12.75">
      <c r="A624" s="367">
        <f t="shared" si="63"/>
        <v>602</v>
      </c>
      <c r="B624" s="368">
        <v>71</v>
      </c>
      <c r="C624" s="377" t="s">
        <v>47</v>
      </c>
      <c r="D624" s="379" t="s">
        <v>80</v>
      </c>
      <c r="E624" s="66" t="s">
        <v>81</v>
      </c>
      <c r="F624" s="375"/>
      <c r="G624" s="79">
        <f t="shared" si="62"/>
        <v>0</v>
      </c>
      <c r="H624" s="375"/>
      <c r="I624" s="375"/>
      <c r="J624" s="375"/>
      <c r="K624" s="412"/>
      <c r="L624" s="21"/>
    </row>
    <row r="625" spans="1:12" ht="12.75">
      <c r="A625" s="367">
        <f t="shared" si="63"/>
        <v>603</v>
      </c>
      <c r="B625" s="368"/>
      <c r="C625" s="368"/>
      <c r="D625" s="379" t="s">
        <v>84</v>
      </c>
      <c r="E625" s="66" t="s">
        <v>245</v>
      </c>
      <c r="F625" s="375"/>
      <c r="G625" s="79">
        <f t="shared" si="62"/>
        <v>0</v>
      </c>
      <c r="H625" s="375"/>
      <c r="I625" s="375"/>
      <c r="J625" s="375"/>
      <c r="K625" s="412"/>
      <c r="L625" s="21"/>
    </row>
    <row r="626" spans="1:12" ht="12.75">
      <c r="A626" s="367">
        <f t="shared" si="63"/>
        <v>604</v>
      </c>
      <c r="B626" s="368"/>
      <c r="C626" s="368"/>
      <c r="D626" s="369">
        <v>30</v>
      </c>
      <c r="E626" s="97" t="s">
        <v>242</v>
      </c>
      <c r="F626" s="375"/>
      <c r="G626" s="79">
        <f t="shared" si="62"/>
        <v>0</v>
      </c>
      <c r="H626" s="375"/>
      <c r="I626" s="375"/>
      <c r="J626" s="375"/>
      <c r="K626" s="412"/>
      <c r="L626" s="21"/>
    </row>
    <row r="627" spans="1:12" ht="12.75">
      <c r="A627" s="367">
        <f t="shared" si="63"/>
        <v>605</v>
      </c>
      <c r="B627" s="368"/>
      <c r="C627" s="368"/>
      <c r="D627" s="369"/>
      <c r="E627" s="66" t="s">
        <v>246</v>
      </c>
      <c r="F627" s="79">
        <f>F629</f>
        <v>0</v>
      </c>
      <c r="G627" s="50">
        <f t="shared" si="62"/>
        <v>9957</v>
      </c>
      <c r="H627" s="79">
        <f>H629</f>
        <v>1338</v>
      </c>
      <c r="I627" s="79">
        <f>I629</f>
        <v>8395</v>
      </c>
      <c r="J627" s="79">
        <f>J629</f>
        <v>224</v>
      </c>
      <c r="K627" s="79">
        <f>K629</f>
        <v>0</v>
      </c>
      <c r="L627" s="21"/>
    </row>
    <row r="628" spans="1:12" ht="12.75">
      <c r="A628" s="367"/>
      <c r="B628" s="368" t="s">
        <v>18</v>
      </c>
      <c r="C628" s="368" t="s">
        <v>247</v>
      </c>
      <c r="D628" s="86" t="s">
        <v>20</v>
      </c>
      <c r="E628" s="66"/>
      <c r="F628" s="79"/>
      <c r="G628" s="79"/>
      <c r="H628" s="79"/>
      <c r="I628" s="79"/>
      <c r="J628" s="79"/>
      <c r="K628" s="393"/>
      <c r="L628" s="21"/>
    </row>
    <row r="629" spans="1:12" ht="12.75">
      <c r="A629" s="367">
        <f>A627+1</f>
        <v>606</v>
      </c>
      <c r="B629" s="368"/>
      <c r="C629" s="368"/>
      <c r="D629" s="369"/>
      <c r="E629" s="85" t="s">
        <v>249</v>
      </c>
      <c r="F629" s="49">
        <f>+F630+F633+F634</f>
        <v>0</v>
      </c>
      <c r="G629" s="50">
        <f aca="true" t="shared" si="64" ref="G629:G641">H629+I629+J629+K629</f>
        <v>9957</v>
      </c>
      <c r="H629" s="49">
        <f>+H630+H633+H634+H638</f>
        <v>1338</v>
      </c>
      <c r="I629" s="49">
        <f>+I630+I633+I634+I638</f>
        <v>8395</v>
      </c>
      <c r="J629" s="49">
        <f>+J630+J633+J634+J638</f>
        <v>224</v>
      </c>
      <c r="K629" s="49">
        <f>+K630+K633+K634+K638</f>
        <v>0</v>
      </c>
      <c r="L629" s="21"/>
    </row>
    <row r="630" spans="1:12" ht="12.75">
      <c r="A630" s="367">
        <f t="shared" si="63"/>
        <v>607</v>
      </c>
      <c r="B630" s="368"/>
      <c r="C630" s="377" t="s">
        <v>108</v>
      </c>
      <c r="D630" s="369"/>
      <c r="E630" s="59" t="s">
        <v>250</v>
      </c>
      <c r="F630" s="49">
        <f>+F631+F632</f>
        <v>0</v>
      </c>
      <c r="G630" s="50">
        <f t="shared" si="64"/>
        <v>0</v>
      </c>
      <c r="H630" s="49">
        <f>+H631+H632</f>
        <v>0</v>
      </c>
      <c r="I630" s="49">
        <f>+I631+I632</f>
        <v>0</v>
      </c>
      <c r="J630" s="49">
        <f>+J631+J632</f>
        <v>0</v>
      </c>
      <c r="K630" s="124">
        <f>+K631+K632</f>
        <v>0</v>
      </c>
      <c r="L630" s="21"/>
    </row>
    <row r="631" spans="1:12" ht="12.75">
      <c r="A631" s="367">
        <f t="shared" si="63"/>
        <v>608</v>
      </c>
      <c r="B631" s="368"/>
      <c r="C631" s="368"/>
      <c r="D631" s="379" t="s">
        <v>80</v>
      </c>
      <c r="E631" s="66" t="s">
        <v>251</v>
      </c>
      <c r="F631" s="375"/>
      <c r="G631" s="79">
        <f t="shared" si="64"/>
        <v>0</v>
      </c>
      <c r="H631" s="375"/>
      <c r="I631" s="375"/>
      <c r="J631" s="375"/>
      <c r="K631" s="412"/>
      <c r="L631" s="21"/>
    </row>
    <row r="632" spans="1:12" ht="12.75">
      <c r="A632" s="367">
        <f t="shared" si="63"/>
        <v>609</v>
      </c>
      <c r="B632" s="368"/>
      <c r="C632" s="368"/>
      <c r="D632" s="369">
        <v>50</v>
      </c>
      <c r="E632" s="66" t="s">
        <v>278</v>
      </c>
      <c r="F632" s="375"/>
      <c r="G632" s="79">
        <f t="shared" si="64"/>
        <v>0</v>
      </c>
      <c r="H632" s="375"/>
      <c r="I632" s="375"/>
      <c r="J632" s="375"/>
      <c r="K632" s="412"/>
      <c r="L632" s="21"/>
    </row>
    <row r="633" spans="1:12" ht="12.75">
      <c r="A633" s="367">
        <f t="shared" si="63"/>
        <v>610</v>
      </c>
      <c r="B633" s="368"/>
      <c r="C633" s="377" t="s">
        <v>41</v>
      </c>
      <c r="D633" s="369"/>
      <c r="E633" s="59" t="s">
        <v>253</v>
      </c>
      <c r="F633" s="375"/>
      <c r="G633" s="79">
        <f t="shared" si="64"/>
        <v>0</v>
      </c>
      <c r="H633" s="375"/>
      <c r="I633" s="375"/>
      <c r="J633" s="375"/>
      <c r="K633" s="412"/>
      <c r="L633" s="21"/>
    </row>
    <row r="634" spans="1:12" ht="12.75">
      <c r="A634" s="367">
        <f t="shared" si="63"/>
        <v>611</v>
      </c>
      <c r="B634" s="368"/>
      <c r="C634" s="377" t="s">
        <v>154</v>
      </c>
      <c r="D634" s="369"/>
      <c r="E634" s="59" t="s">
        <v>289</v>
      </c>
      <c r="F634" s="49">
        <f>+F635+F636</f>
        <v>0</v>
      </c>
      <c r="G634" s="50">
        <f t="shared" si="64"/>
        <v>9957</v>
      </c>
      <c r="H634" s="49">
        <f>+H635+H636+H637</f>
        <v>1338</v>
      </c>
      <c r="I634" s="49">
        <f>+I635+I636+I637</f>
        <v>8395</v>
      </c>
      <c r="J634" s="49">
        <f>+J635+J636+J637</f>
        <v>224</v>
      </c>
      <c r="K634" s="49">
        <f>+K635+K636+K637</f>
        <v>0</v>
      </c>
      <c r="L634" s="21"/>
    </row>
    <row r="635" spans="1:12" ht="12.75">
      <c r="A635" s="367">
        <f t="shared" si="63"/>
        <v>612</v>
      </c>
      <c r="B635" s="368"/>
      <c r="C635" s="368"/>
      <c r="D635" s="379" t="s">
        <v>47</v>
      </c>
      <c r="E635" s="66" t="s">
        <v>255</v>
      </c>
      <c r="F635" s="375"/>
      <c r="G635" s="79">
        <f t="shared" si="64"/>
        <v>9957</v>
      </c>
      <c r="H635" s="375">
        <v>1338</v>
      </c>
      <c r="I635" s="375">
        <v>8395</v>
      </c>
      <c r="J635" s="375">
        <v>224</v>
      </c>
      <c r="K635" s="375">
        <v>0</v>
      </c>
      <c r="L635" s="21"/>
    </row>
    <row r="636" spans="1:12" ht="12.75">
      <c r="A636" s="367">
        <f t="shared" si="63"/>
        <v>613</v>
      </c>
      <c r="B636" s="368"/>
      <c r="C636" s="368"/>
      <c r="D636" s="379" t="s">
        <v>154</v>
      </c>
      <c r="E636" s="66" t="s">
        <v>296</v>
      </c>
      <c r="F636" s="375"/>
      <c r="G636" s="79">
        <f t="shared" si="64"/>
        <v>0</v>
      </c>
      <c r="H636" s="375"/>
      <c r="I636" s="375"/>
      <c r="J636" s="375"/>
      <c r="K636" s="412"/>
      <c r="L636" s="21"/>
    </row>
    <row r="637" spans="1:12" ht="12.75">
      <c r="A637" s="367">
        <f t="shared" si="63"/>
        <v>614</v>
      </c>
      <c r="B637" s="368"/>
      <c r="C637" s="379">
        <v>10</v>
      </c>
      <c r="D637" s="379"/>
      <c r="E637" s="66" t="s">
        <v>290</v>
      </c>
      <c r="F637" s="375"/>
      <c r="G637" s="79">
        <f t="shared" si="64"/>
        <v>0</v>
      </c>
      <c r="H637" s="375"/>
      <c r="I637" s="375"/>
      <c r="J637" s="375"/>
      <c r="K637" s="412"/>
      <c r="L637" s="21"/>
    </row>
    <row r="638" spans="1:12" ht="12.75">
      <c r="A638" s="367">
        <f t="shared" si="63"/>
        <v>615</v>
      </c>
      <c r="B638" s="368"/>
      <c r="C638" s="421">
        <v>50</v>
      </c>
      <c r="D638" s="421"/>
      <c r="E638" s="59" t="s">
        <v>291</v>
      </c>
      <c r="F638" s="109"/>
      <c r="G638" s="50">
        <f t="shared" si="64"/>
        <v>0</v>
      </c>
      <c r="H638" s="168">
        <f>H639+H640</f>
        <v>0</v>
      </c>
      <c r="I638" s="168">
        <f>I639+I640</f>
        <v>0</v>
      </c>
      <c r="J638" s="168">
        <f>J639+J640</f>
        <v>0</v>
      </c>
      <c r="K638" s="168">
        <f>K639+K640</f>
        <v>0</v>
      </c>
      <c r="L638" s="21"/>
    </row>
    <row r="639" spans="1:12" ht="12.75">
      <c r="A639" s="367">
        <f t="shared" si="63"/>
        <v>616</v>
      </c>
      <c r="B639" s="368"/>
      <c r="C639" s="368"/>
      <c r="D639" s="427" t="s">
        <v>47</v>
      </c>
      <c r="E639" s="66" t="s">
        <v>259</v>
      </c>
      <c r="F639" s="375"/>
      <c r="G639" s="79">
        <f t="shared" si="64"/>
        <v>0</v>
      </c>
      <c r="H639" s="375"/>
      <c r="I639" s="375"/>
      <c r="J639" s="375"/>
      <c r="K639" s="412"/>
      <c r="L639" s="21"/>
    </row>
    <row r="640" spans="1:12" ht="12.75">
      <c r="A640" s="367">
        <f t="shared" si="63"/>
        <v>617</v>
      </c>
      <c r="B640" s="368"/>
      <c r="C640" s="368"/>
      <c r="D640" s="379">
        <v>50</v>
      </c>
      <c r="E640" s="66" t="s">
        <v>292</v>
      </c>
      <c r="F640" s="375"/>
      <c r="G640" s="79">
        <f t="shared" si="64"/>
        <v>0</v>
      </c>
      <c r="H640" s="375"/>
      <c r="I640" s="375"/>
      <c r="J640" s="375"/>
      <c r="K640" s="412"/>
      <c r="L640" s="21"/>
    </row>
    <row r="641" spans="1:12" ht="12.75">
      <c r="A641" s="367">
        <f t="shared" si="63"/>
        <v>618</v>
      </c>
      <c r="B641" s="368"/>
      <c r="C641" s="368"/>
      <c r="D641" s="369"/>
      <c r="E641" s="66" t="s">
        <v>299</v>
      </c>
      <c r="F641" s="428"/>
      <c r="G641" s="50">
        <f t="shared" si="64"/>
        <v>0</v>
      </c>
      <c r="H641" s="428"/>
      <c r="I641" s="428"/>
      <c r="J641" s="428"/>
      <c r="K641" s="428"/>
      <c r="L641" s="21"/>
    </row>
    <row r="642" spans="1:13" ht="12.75">
      <c r="A642" s="367">
        <f t="shared" si="63"/>
        <v>619</v>
      </c>
      <c r="B642" s="368"/>
      <c r="C642" s="368"/>
      <c r="D642" s="369"/>
      <c r="E642" s="66" t="s">
        <v>300</v>
      </c>
      <c r="F642" s="428"/>
      <c r="G642" s="50">
        <f>H642+I642+J642+K642</f>
        <v>0</v>
      </c>
      <c r="H642" s="428"/>
      <c r="I642" s="428"/>
      <c r="J642" s="428"/>
      <c r="K642" s="428"/>
      <c r="L642" s="21"/>
      <c r="M642" s="170"/>
    </row>
    <row r="643" spans="1:12" ht="13.5" thickBot="1">
      <c r="A643" s="367">
        <f t="shared" si="63"/>
        <v>620</v>
      </c>
      <c r="B643" s="429"/>
      <c r="C643" s="429"/>
      <c r="D643" s="430"/>
      <c r="E643" s="431" t="s">
        <v>301</v>
      </c>
      <c r="F643" s="432"/>
      <c r="G643" s="433">
        <f>H643+I643+J643+K643</f>
        <v>0</v>
      </c>
      <c r="H643" s="432"/>
      <c r="I643" s="432"/>
      <c r="J643" s="432"/>
      <c r="K643" s="432"/>
      <c r="L643" s="21"/>
    </row>
    <row r="644" spans="1:11" ht="10.5" customHeight="1">
      <c r="A644" s="184"/>
      <c r="B644" s="184"/>
      <c r="C644" s="184"/>
      <c r="D644" s="184"/>
      <c r="E644" s="184"/>
      <c r="F644" s="184"/>
      <c r="G644" s="184"/>
      <c r="H644" s="184"/>
      <c r="I644" s="434"/>
      <c r="J644" s="184"/>
      <c r="K644" s="184"/>
    </row>
    <row r="645" spans="1:11" ht="12.75" hidden="1">
      <c r="A645" s="3" t="s">
        <v>302</v>
      </c>
      <c r="B645" s="2"/>
      <c r="C645" s="2"/>
      <c r="D645" s="3"/>
      <c r="E645" s="3"/>
      <c r="F645" s="3"/>
      <c r="G645" s="3"/>
      <c r="H645" s="3"/>
      <c r="I645" s="3"/>
      <c r="J645" s="3"/>
      <c r="K645" s="3"/>
    </row>
    <row r="646" spans="1:11" ht="12.75" hidden="1">
      <c r="A646" s="3" t="s">
        <v>303</v>
      </c>
      <c r="B646" s="2"/>
      <c r="C646" s="2"/>
      <c r="D646" s="3"/>
      <c r="E646" s="3"/>
      <c r="F646" s="3"/>
      <c r="G646" s="3"/>
      <c r="H646" s="3"/>
      <c r="I646" s="3"/>
      <c r="J646" s="3"/>
      <c r="K646" s="3"/>
    </row>
    <row r="647" spans="1:11" ht="12.75" hidden="1">
      <c r="A647" s="3" t="s">
        <v>304</v>
      </c>
      <c r="B647" s="2"/>
      <c r="C647" s="2"/>
      <c r="D647" s="3"/>
      <c r="E647" s="3"/>
      <c r="F647" s="3"/>
      <c r="G647" s="3"/>
      <c r="H647" s="3"/>
      <c r="I647" s="3"/>
      <c r="J647" s="3"/>
      <c r="K647" s="3"/>
    </row>
    <row r="648" spans="1:11" ht="12.75" hidden="1">
      <c r="A648" s="184"/>
      <c r="B648" s="184"/>
      <c r="C648" s="184"/>
      <c r="D648" s="184"/>
      <c r="E648" s="184"/>
      <c r="F648" s="184"/>
      <c r="G648" s="184"/>
      <c r="H648" s="184"/>
      <c r="I648" s="184"/>
      <c r="J648" s="184"/>
      <c r="K648" s="184"/>
    </row>
    <row r="649" spans="1:11" ht="12.75" hidden="1">
      <c r="A649" s="29" t="s">
        <v>305</v>
      </c>
      <c r="B649" s="435"/>
      <c r="C649" s="435"/>
      <c r="D649" s="436"/>
      <c r="E649" s="436"/>
      <c r="F649" s="436"/>
      <c r="G649" s="436"/>
      <c r="H649" s="436"/>
      <c r="I649" s="436"/>
      <c r="J649" s="436"/>
      <c r="K649" s="436"/>
    </row>
    <row r="650" spans="1:11" ht="12.75" hidden="1">
      <c r="A650" s="3" t="s">
        <v>306</v>
      </c>
      <c r="B650" s="2"/>
      <c r="C650" s="2"/>
      <c r="D650" s="3"/>
      <c r="E650" s="3"/>
      <c r="F650" s="3"/>
      <c r="G650" s="3"/>
      <c r="H650" s="3"/>
      <c r="I650" s="3"/>
      <c r="J650" s="3"/>
      <c r="K650" s="3"/>
    </row>
    <row r="651" spans="1:11" ht="12.75" hidden="1">
      <c r="A651" s="3" t="s">
        <v>307</v>
      </c>
      <c r="B651" s="2"/>
      <c r="C651" s="2"/>
      <c r="D651" s="3"/>
      <c r="E651" s="3"/>
      <c r="F651" s="3"/>
      <c r="G651" s="3"/>
      <c r="H651" s="3"/>
      <c r="I651" s="3"/>
      <c r="J651" s="3"/>
      <c r="K651" s="3"/>
    </row>
    <row r="652" spans="1:11" ht="12.75">
      <c r="A652" s="184"/>
      <c r="B652" s="184"/>
      <c r="C652" s="184"/>
      <c r="D652" s="184"/>
      <c r="E652" s="184"/>
      <c r="F652" s="184"/>
      <c r="G652" s="434"/>
      <c r="H652" s="434"/>
      <c r="I652" s="434"/>
      <c r="J652" s="434"/>
      <c r="K652" s="434"/>
    </row>
    <row r="653" spans="1:11" ht="12.75">
      <c r="A653" s="184"/>
      <c r="B653" s="184"/>
      <c r="C653" s="184"/>
      <c r="D653" s="437" t="s">
        <v>308</v>
      </c>
      <c r="E653" s="184"/>
      <c r="F653" s="2" t="s">
        <v>309</v>
      </c>
      <c r="G653" s="171"/>
      <c r="H653" s="438"/>
      <c r="I653" s="434"/>
      <c r="J653" s="434"/>
      <c r="K653" s="434"/>
    </row>
    <row r="654" spans="1:11" ht="12.75">
      <c r="A654" s="184"/>
      <c r="B654" s="184"/>
      <c r="C654" s="184"/>
      <c r="D654" s="9" t="s">
        <v>310</v>
      </c>
      <c r="E654" s="184"/>
      <c r="F654" s="2" t="s">
        <v>311</v>
      </c>
      <c r="G654" s="2"/>
      <c r="H654" s="2"/>
      <c r="I654" s="184"/>
      <c r="J654" s="184"/>
      <c r="K654" s="184"/>
    </row>
    <row r="655" spans="1:11" ht="12.75">
      <c r="A655" s="184"/>
      <c r="B655" s="184"/>
      <c r="C655" s="184"/>
      <c r="D655" s="9"/>
      <c r="E655" s="184"/>
      <c r="F655" s="184"/>
      <c r="G655" s="184"/>
      <c r="H655" s="2"/>
      <c r="I655" s="184"/>
      <c r="J655" s="184"/>
      <c r="K655" s="184"/>
    </row>
    <row r="656" spans="1:11" ht="12.75">
      <c r="A656" s="184"/>
      <c r="B656" s="184"/>
      <c r="C656" s="184"/>
      <c r="D656" s="9"/>
      <c r="E656" s="184"/>
      <c r="F656" s="184"/>
      <c r="G656" s="184"/>
      <c r="H656" s="2"/>
      <c r="I656" s="184"/>
      <c r="J656" s="184"/>
      <c r="K656" s="184"/>
    </row>
    <row r="657" spans="1:11" ht="12.75">
      <c r="A657" s="184"/>
      <c r="B657" s="184"/>
      <c r="C657" s="184"/>
      <c r="D657" s="184"/>
      <c r="E657" s="127"/>
      <c r="F657" s="127" t="s">
        <v>312</v>
      </c>
      <c r="G657" s="185"/>
      <c r="H657" s="185"/>
      <c r="I657" s="439"/>
      <c r="J657" s="185"/>
      <c r="K657" s="185"/>
    </row>
    <row r="658" spans="1:11" ht="15" customHeight="1">
      <c r="A658" s="184"/>
      <c r="B658" s="184"/>
      <c r="C658" s="184"/>
      <c r="D658" s="184"/>
      <c r="E658" s="127"/>
      <c r="F658" s="127" t="s">
        <v>313</v>
      </c>
      <c r="G658" s="185"/>
      <c r="H658" s="185"/>
      <c r="I658" s="439"/>
      <c r="J658" s="185"/>
      <c r="K658" s="185"/>
    </row>
    <row r="659" spans="1:11" ht="13.5">
      <c r="A659" s="227"/>
      <c r="B659" s="186"/>
      <c r="C659" s="32"/>
      <c r="D659" s="32"/>
      <c r="E659" s="172"/>
      <c r="F659" s="172"/>
      <c r="G659" s="173"/>
      <c r="H659" s="173"/>
      <c r="I659" s="173"/>
      <c r="J659" s="173"/>
      <c r="K659" s="235"/>
    </row>
    <row r="660" spans="1:11" ht="13.5">
      <c r="A660" s="227"/>
      <c r="B660" s="188"/>
      <c r="C660" s="174"/>
      <c r="D660" s="174"/>
      <c r="E660" s="174"/>
      <c r="F660" s="172"/>
      <c r="G660" s="173"/>
      <c r="H660" s="173"/>
      <c r="I660" s="173"/>
      <c r="J660" s="173"/>
      <c r="K660" s="235"/>
    </row>
    <row r="661" spans="1:11" ht="13.5">
      <c r="A661" s="227"/>
      <c r="B661" s="188"/>
      <c r="C661" s="174"/>
      <c r="D661" s="174"/>
      <c r="E661" s="174"/>
      <c r="F661" s="172"/>
      <c r="G661" s="175"/>
      <c r="H661" s="175"/>
      <c r="I661" s="175"/>
      <c r="J661" s="175"/>
      <c r="K661" s="146"/>
    </row>
    <row r="662" spans="1:11" ht="13.5">
      <c r="A662" s="227"/>
      <c r="B662" s="186"/>
      <c r="C662" s="32"/>
      <c r="D662" s="32"/>
      <c r="E662" s="32"/>
      <c r="F662" s="176"/>
      <c r="G662" s="173"/>
      <c r="H662" s="173"/>
      <c r="I662" s="173"/>
      <c r="J662" s="173"/>
      <c r="K662" s="235"/>
    </row>
    <row r="663" spans="1:11" ht="13.5">
      <c r="A663" s="189"/>
      <c r="B663" s="7"/>
      <c r="C663" s="7"/>
      <c r="D663" s="7"/>
      <c r="E663" s="180"/>
      <c r="F663" s="180"/>
      <c r="G663" s="190"/>
      <c r="H663" s="190"/>
      <c r="I663" s="190"/>
      <c r="J663" s="190"/>
      <c r="K663" s="234"/>
    </row>
    <row r="664" spans="1:11" ht="13.5">
      <c r="A664" s="189"/>
      <c r="B664" s="7"/>
      <c r="C664" s="7"/>
      <c r="D664" s="7"/>
      <c r="E664" s="190"/>
      <c r="F664" s="190"/>
      <c r="G664" s="191"/>
      <c r="H664" s="190"/>
      <c r="I664" s="178"/>
      <c r="J664" s="190"/>
      <c r="K664" s="234"/>
    </row>
    <row r="665" spans="1:11" ht="13.5">
      <c r="A665" s="189"/>
      <c r="B665" s="7"/>
      <c r="C665" s="7"/>
      <c r="D665" s="7"/>
      <c r="E665" s="190"/>
      <c r="F665" s="190"/>
      <c r="G665" s="190"/>
      <c r="H665" s="190"/>
      <c r="I665" s="190"/>
      <c r="J665" s="190"/>
      <c r="K665" s="234"/>
    </row>
    <row r="666" spans="1:11" ht="13.5">
      <c r="A666" s="189"/>
      <c r="B666" s="7"/>
      <c r="C666" s="7"/>
      <c r="D666" s="7"/>
      <c r="E666" s="190"/>
      <c r="F666" s="190"/>
      <c r="G666" s="192"/>
      <c r="H666" s="192"/>
      <c r="I666" s="178"/>
      <c r="J666" s="192"/>
      <c r="K666" s="234"/>
    </row>
    <row r="667" spans="1:11" ht="12.75">
      <c r="A667" s="193"/>
      <c r="B667" s="32"/>
      <c r="C667" s="32"/>
      <c r="D667" s="32"/>
      <c r="E667" s="177"/>
      <c r="F667" s="177"/>
      <c r="G667" s="177"/>
      <c r="H667" s="177"/>
      <c r="I667" s="178"/>
      <c r="J667" s="173"/>
      <c r="K667" s="234"/>
    </row>
    <row r="668" spans="1:11" ht="12.75">
      <c r="A668" s="227"/>
      <c r="B668" s="227"/>
      <c r="C668" s="227"/>
      <c r="D668" s="227"/>
      <c r="E668" s="236"/>
      <c r="F668" s="236"/>
      <c r="G668" s="236"/>
      <c r="H668" s="236"/>
      <c r="I668" s="178"/>
      <c r="J668" s="235"/>
      <c r="K668" s="234"/>
    </row>
    <row r="669" spans="1:11" ht="12.75">
      <c r="A669" s="227"/>
      <c r="B669" s="227"/>
      <c r="C669" s="227"/>
      <c r="D669" s="227"/>
      <c r="E669" s="234"/>
      <c r="F669" s="234"/>
      <c r="G669" s="235"/>
      <c r="H669" s="235"/>
      <c r="I669" s="178"/>
      <c r="J669" s="235"/>
      <c r="K669" s="234"/>
    </row>
    <row r="670" spans="1:11" ht="12.75">
      <c r="A670" s="227"/>
      <c r="B670" s="227"/>
      <c r="C670" s="227"/>
      <c r="D670" s="227"/>
      <c r="E670" s="234"/>
      <c r="F670" s="234"/>
      <c r="G670" s="178"/>
      <c r="H670" s="178"/>
      <c r="I670" s="178"/>
      <c r="J670" s="235"/>
      <c r="K670" s="234"/>
    </row>
    <row r="671" spans="1:11" ht="12.75">
      <c r="A671" s="227"/>
      <c r="B671" s="227"/>
      <c r="C671" s="227"/>
      <c r="D671" s="227"/>
      <c r="E671" s="234"/>
      <c r="F671" s="234"/>
      <c r="G671" s="234"/>
      <c r="H671" s="234"/>
      <c r="I671" s="234"/>
      <c r="J671" s="234"/>
      <c r="K671" s="234"/>
    </row>
    <row r="672" spans="1:11" ht="12.75">
      <c r="A672" s="227"/>
      <c r="B672" s="227"/>
      <c r="C672" s="227"/>
      <c r="D672" s="227"/>
      <c r="E672" s="180"/>
      <c r="F672" s="180"/>
      <c r="G672" s="234"/>
      <c r="H672" s="237"/>
      <c r="I672" s="234"/>
      <c r="J672" s="234"/>
      <c r="K672" s="234"/>
    </row>
    <row r="673" spans="1:11" ht="12.75">
      <c r="A673" s="227"/>
      <c r="B673" s="227"/>
      <c r="C673" s="227"/>
      <c r="D673" s="227"/>
      <c r="E673" s="179"/>
      <c r="F673" s="179"/>
      <c r="G673" s="180"/>
      <c r="H673" s="234"/>
      <c r="I673" s="234"/>
      <c r="J673" s="234"/>
      <c r="K673" s="234"/>
    </row>
    <row r="674" spans="1:11" ht="12.75">
      <c r="A674" s="227"/>
      <c r="B674" s="227"/>
      <c r="C674" s="227"/>
      <c r="D674" s="227"/>
      <c r="E674" s="179"/>
      <c r="F674" s="179"/>
      <c r="G674" s="180"/>
      <c r="H674" s="234"/>
      <c r="I674" s="234"/>
      <c r="J674" s="234"/>
      <c r="K674" s="234"/>
    </row>
    <row r="675" spans="1:11" ht="12.75">
      <c r="A675" s="227"/>
      <c r="B675" s="227"/>
      <c r="C675" s="227"/>
      <c r="D675" s="227"/>
      <c r="E675" s="179"/>
      <c r="F675" s="179"/>
      <c r="G675" s="181"/>
      <c r="H675" s="234"/>
      <c r="I675" s="234"/>
      <c r="J675" s="234"/>
      <c r="K675" s="234"/>
    </row>
    <row r="676" spans="1:11" ht="12.75">
      <c r="A676" s="227"/>
      <c r="B676" s="227"/>
      <c r="C676" s="227"/>
      <c r="D676" s="227"/>
      <c r="E676" s="182"/>
      <c r="F676" s="182"/>
      <c r="G676" s="183"/>
      <c r="H676" s="234"/>
      <c r="I676" s="234"/>
      <c r="J676" s="234"/>
      <c r="K676" s="234"/>
    </row>
    <row r="677" spans="1:11" ht="12.75">
      <c r="A677" s="227"/>
      <c r="B677" s="227"/>
      <c r="C677" s="227"/>
      <c r="D677" s="227"/>
      <c r="E677" s="182"/>
      <c r="F677" s="182"/>
      <c r="G677" s="180"/>
      <c r="H677" s="234"/>
      <c r="I677" s="234"/>
      <c r="J677" s="234"/>
      <c r="K677" s="234"/>
    </row>
    <row r="678" spans="1:11" ht="12.75">
      <c r="A678" s="227"/>
      <c r="B678" s="227"/>
      <c r="C678" s="227"/>
      <c r="D678" s="227"/>
      <c r="E678" s="196"/>
      <c r="F678" s="196"/>
      <c r="G678" s="234"/>
      <c r="H678" s="234"/>
      <c r="I678" s="234"/>
      <c r="J678" s="234"/>
      <c r="K678" s="234"/>
    </row>
    <row r="679" spans="1:11" ht="12.75">
      <c r="A679" s="227"/>
      <c r="B679" s="227"/>
      <c r="C679" s="227"/>
      <c r="D679" s="227"/>
      <c r="E679" s="196"/>
      <c r="F679" s="196"/>
      <c r="G679" s="234"/>
      <c r="H679" s="234"/>
      <c r="I679" s="234"/>
      <c r="J679" s="234"/>
      <c r="K679" s="234"/>
    </row>
    <row r="680" spans="1:11" ht="12.75">
      <c r="A680" s="227"/>
      <c r="B680" s="227"/>
      <c r="C680" s="227"/>
      <c r="D680" s="227"/>
      <c r="E680" s="234"/>
      <c r="F680" s="234"/>
      <c r="G680" s="234"/>
      <c r="H680" s="234"/>
      <c r="I680" s="234"/>
      <c r="J680" s="234"/>
      <c r="K680" s="234"/>
    </row>
    <row r="681" spans="1:11" ht="12.75">
      <c r="A681" s="227"/>
      <c r="B681" s="227"/>
      <c r="C681" s="227"/>
      <c r="D681" s="227"/>
      <c r="E681" s="234"/>
      <c r="F681" s="234"/>
      <c r="G681" s="234"/>
      <c r="H681" s="234"/>
      <c r="I681" s="234"/>
      <c r="J681" s="234"/>
      <c r="K681" s="234"/>
    </row>
    <row r="682" spans="1:11" ht="12.75">
      <c r="A682" s="227"/>
      <c r="B682" s="227"/>
      <c r="C682" s="227"/>
      <c r="D682" s="227"/>
      <c r="E682" s="234"/>
      <c r="F682" s="234"/>
      <c r="G682" s="234"/>
      <c r="H682" s="234"/>
      <c r="I682" s="234"/>
      <c r="J682" s="234"/>
      <c r="K682" s="234"/>
    </row>
    <row r="683" spans="1:11" ht="12.75">
      <c r="A683" s="227"/>
      <c r="B683" s="227"/>
      <c r="C683" s="227"/>
      <c r="D683" s="227"/>
      <c r="E683" s="234"/>
      <c r="F683" s="234"/>
      <c r="G683" s="234"/>
      <c r="H683" s="234"/>
      <c r="I683" s="234"/>
      <c r="J683" s="234"/>
      <c r="K683" s="234"/>
    </row>
    <row r="684" spans="1:11" ht="12.75">
      <c r="A684" s="227"/>
      <c r="B684" s="227"/>
      <c r="C684" s="227"/>
      <c r="D684" s="227"/>
      <c r="E684" s="234"/>
      <c r="F684" s="234"/>
      <c r="G684" s="234"/>
      <c r="H684" s="234"/>
      <c r="I684" s="234"/>
      <c r="J684" s="234"/>
      <c r="K684" s="234"/>
    </row>
    <row r="685" spans="1:11" ht="12.75">
      <c r="A685" s="227"/>
      <c r="B685" s="227"/>
      <c r="C685" s="227"/>
      <c r="D685" s="227"/>
      <c r="E685" s="234"/>
      <c r="F685" s="234"/>
      <c r="G685" s="234"/>
      <c r="H685" s="234"/>
      <c r="I685" s="234"/>
      <c r="J685" s="234"/>
      <c r="K685" s="234"/>
    </row>
    <row r="686" spans="1:11" ht="12.75">
      <c r="A686" s="227"/>
      <c r="B686" s="227"/>
      <c r="C686" s="227"/>
      <c r="D686" s="227"/>
      <c r="E686" s="234"/>
      <c r="F686" s="234"/>
      <c r="G686" s="234"/>
      <c r="H686" s="234"/>
      <c r="I686" s="234"/>
      <c r="J686" s="234"/>
      <c r="K686" s="234"/>
    </row>
    <row r="687" spans="1:11" ht="12.75">
      <c r="A687" s="227"/>
      <c r="B687" s="227"/>
      <c r="C687" s="227"/>
      <c r="D687" s="227"/>
      <c r="E687" s="227"/>
      <c r="F687" s="227"/>
      <c r="G687" s="227"/>
      <c r="H687" s="227"/>
      <c r="I687" s="227"/>
      <c r="J687" s="227"/>
      <c r="K687" s="227"/>
    </row>
    <row r="688" spans="1:11" ht="12.75">
      <c r="A688" s="227"/>
      <c r="B688" s="227"/>
      <c r="C688" s="227"/>
      <c r="D688" s="227"/>
      <c r="E688" s="227"/>
      <c r="F688" s="227"/>
      <c r="G688" s="227"/>
      <c r="H688" s="227"/>
      <c r="I688" s="227"/>
      <c r="J688" s="227"/>
      <c r="K688" s="227"/>
    </row>
    <row r="689" spans="1:11" ht="12.75">
      <c r="A689" s="227"/>
      <c r="B689" s="227"/>
      <c r="C689" s="227"/>
      <c r="D689" s="227"/>
      <c r="E689" s="227"/>
      <c r="F689" s="227"/>
      <c r="G689" s="227"/>
      <c r="H689" s="227"/>
      <c r="I689" s="227"/>
      <c r="J689" s="227"/>
      <c r="K689" s="227"/>
    </row>
    <row r="690" spans="1:11" ht="12.75">
      <c r="A690" s="227"/>
      <c r="B690" s="227"/>
      <c r="C690" s="227"/>
      <c r="D690" s="227"/>
      <c r="E690" s="227"/>
      <c r="F690" s="227"/>
      <c r="G690" s="227"/>
      <c r="H690" s="227"/>
      <c r="I690" s="227"/>
      <c r="J690" s="227"/>
      <c r="K690" s="227"/>
    </row>
    <row r="691" spans="1:11" ht="12.75">
      <c r="A691" s="227"/>
      <c r="B691" s="227"/>
      <c r="C691" s="227"/>
      <c r="D691" s="227"/>
      <c r="E691" s="227"/>
      <c r="F691" s="227"/>
      <c r="G691" s="227"/>
      <c r="H691" s="227"/>
      <c r="I691" s="227"/>
      <c r="J691" s="227"/>
      <c r="K691" s="227"/>
    </row>
    <row r="692" spans="1:11" ht="12.75">
      <c r="A692" s="227"/>
      <c r="B692" s="227"/>
      <c r="C692" s="227"/>
      <c r="D692" s="227"/>
      <c r="E692" s="227"/>
      <c r="F692" s="227"/>
      <c r="G692" s="227"/>
      <c r="H692" s="227"/>
      <c r="I692" s="227"/>
      <c r="J692" s="227"/>
      <c r="K692" s="227"/>
    </row>
    <row r="693" spans="1:11" ht="12.75">
      <c r="A693" s="227"/>
      <c r="B693" s="227"/>
      <c r="C693" s="227"/>
      <c r="D693" s="227"/>
      <c r="E693" s="227"/>
      <c r="F693" s="227"/>
      <c r="G693" s="227"/>
      <c r="H693" s="227"/>
      <c r="I693" s="227"/>
      <c r="J693" s="227"/>
      <c r="K693" s="227"/>
    </row>
    <row r="694" spans="1:11" ht="12.75">
      <c r="A694" s="227"/>
      <c r="B694" s="227"/>
      <c r="C694" s="227"/>
      <c r="D694" s="227"/>
      <c r="E694" s="227"/>
      <c r="F694" s="227"/>
      <c r="G694" s="227"/>
      <c r="H694" s="227"/>
      <c r="I694" s="227"/>
      <c r="J694" s="227"/>
      <c r="K694" s="227"/>
    </row>
    <row r="695" spans="1:11" ht="12.75">
      <c r="A695" s="227"/>
      <c r="B695" s="227"/>
      <c r="C695" s="227"/>
      <c r="D695" s="227"/>
      <c r="E695" s="227"/>
      <c r="F695" s="227"/>
      <c r="G695" s="227"/>
      <c r="H695" s="227"/>
      <c r="I695" s="227"/>
      <c r="J695" s="227"/>
      <c r="K695" s="227"/>
    </row>
    <row r="696" spans="1:11" ht="12.75">
      <c r="A696" s="227"/>
      <c r="B696" s="227"/>
      <c r="C696" s="227"/>
      <c r="D696" s="227"/>
      <c r="E696" s="227"/>
      <c r="F696" s="227"/>
      <c r="G696" s="227"/>
      <c r="H696" s="227"/>
      <c r="I696" s="227"/>
      <c r="J696" s="227"/>
      <c r="K696" s="227"/>
    </row>
    <row r="697" spans="1:11" ht="12.75">
      <c r="A697" s="227"/>
      <c r="B697" s="227"/>
      <c r="C697" s="227"/>
      <c r="D697" s="227"/>
      <c r="E697" s="227"/>
      <c r="F697" s="227"/>
      <c r="G697" s="227"/>
      <c r="H697" s="227"/>
      <c r="I697" s="227"/>
      <c r="J697" s="227"/>
      <c r="K697" s="227"/>
    </row>
    <row r="698" spans="1:11" ht="12.75">
      <c r="A698" s="227"/>
      <c r="B698" s="227"/>
      <c r="C698" s="227"/>
      <c r="D698" s="227"/>
      <c r="E698" s="227"/>
      <c r="F698" s="227"/>
      <c r="G698" s="227"/>
      <c r="H698" s="227"/>
      <c r="I698" s="227"/>
      <c r="J698" s="227"/>
      <c r="K698" s="227"/>
    </row>
    <row r="699" spans="1:11" ht="12.75">
      <c r="A699" s="227"/>
      <c r="B699" s="227"/>
      <c r="C699" s="227"/>
      <c r="D699" s="227"/>
      <c r="E699" s="227"/>
      <c r="F699" s="227"/>
      <c r="G699" s="227"/>
      <c r="H699" s="227"/>
      <c r="I699" s="227"/>
      <c r="J699" s="227"/>
      <c r="K699" s="227"/>
    </row>
    <row r="700" spans="1:11" ht="12.75">
      <c r="A700" s="227"/>
      <c r="B700" s="227"/>
      <c r="C700" s="227"/>
      <c r="D700" s="227"/>
      <c r="E700" s="227"/>
      <c r="F700" s="227"/>
      <c r="G700" s="227"/>
      <c r="H700" s="227"/>
      <c r="I700" s="227"/>
      <c r="J700" s="227"/>
      <c r="K700" s="227"/>
    </row>
    <row r="701" spans="1:11" ht="12.75">
      <c r="A701" s="227"/>
      <c r="B701" s="227"/>
      <c r="C701" s="227"/>
      <c r="D701" s="227"/>
      <c r="E701" s="227"/>
      <c r="F701" s="227"/>
      <c r="G701" s="227"/>
      <c r="H701" s="227"/>
      <c r="I701" s="227"/>
      <c r="J701" s="227"/>
      <c r="K701" s="227"/>
    </row>
    <row r="702" spans="1:11" ht="12.75">
      <c r="A702" s="227"/>
      <c r="B702" s="227"/>
      <c r="C702" s="227"/>
      <c r="D702" s="227"/>
      <c r="E702" s="227"/>
      <c r="F702" s="227"/>
      <c r="G702" s="227"/>
      <c r="H702" s="227"/>
      <c r="I702" s="227"/>
      <c r="J702" s="227"/>
      <c r="K702" s="227"/>
    </row>
  </sheetData>
  <sheetProtection/>
  <printOptions/>
  <pageMargins left="0.75" right="0.75" top="1" bottom="1" header="0.5" footer="0.5"/>
  <pageSetup fitToHeight="100" horizontalDpi="600" verticalDpi="600" orientation="landscape" paperSize="9" scale="94" r:id="rId1"/>
  <colBreaks count="2" manualBreakCount="2">
    <brk id="11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msturza</cp:lastModifiedBy>
  <cp:lastPrinted>2012-01-30T08:40:21Z</cp:lastPrinted>
  <dcterms:created xsi:type="dcterms:W3CDTF">2011-02-01T12:56:00Z</dcterms:created>
  <dcterms:modified xsi:type="dcterms:W3CDTF">2012-01-31T11:03:24Z</dcterms:modified>
  <cp:category/>
  <cp:version/>
  <cp:contentType/>
  <cp:contentStatus/>
</cp:coreProperties>
</file>